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7"/>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118" documentId="8_{8C717363-AE88-4F7B-899C-243FBEFA05AB}" xr6:coauthVersionLast="47" xr6:coauthVersionMax="47" xr10:uidLastSave="{25158585-8D4C-4330-8A2B-7045FAA3BBAA}"/>
  <bookViews>
    <workbookView xWindow="-98" yWindow="-98" windowWidth="28996" windowHeight="15796" firstSheet="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25" i="3" l="1"/>
  <c r="E35" i="1"/>
  <c r="E10" i="1"/>
  <c r="D10" i="1"/>
  <c r="D17" i="1"/>
  <c r="D21" i="1"/>
  <c r="D35" i="1"/>
  <c r="C17" i="3"/>
  <c r="D17" i="3"/>
  <c r="B2" i="1"/>
  <c r="B2" i="3"/>
  <c r="F44" i="1"/>
  <c r="F39" i="1"/>
  <c r="F6" i="1"/>
  <c r="F13" i="1"/>
  <c r="D39" i="3"/>
  <c r="C39" i="3"/>
  <c r="E29" i="3"/>
  <c r="C28" i="3"/>
  <c r="D28" i="3"/>
  <c r="D36" i="3"/>
  <c r="E39" i="3"/>
  <c r="E28" i="3"/>
  <c r="C36" i="3"/>
  <c r="D34" i="3"/>
  <c r="C34" i="3"/>
  <c r="B28" i="3"/>
  <c r="E30" i="3"/>
  <c r="E31" i="3"/>
  <c r="E32" i="3"/>
  <c r="E33" i="3"/>
  <c r="F35" i="1" l="1"/>
  <c r="E34" i="3"/>
  <c r="D65" i="1" l="1"/>
  <c r="B59" i="1"/>
  <c r="E16" i="3"/>
  <c r="F5" i="1" s="1"/>
  <c r="D16" i="3"/>
  <c r="C16" i="3"/>
  <c r="D5" i="1" s="1"/>
  <c r="D20" i="3"/>
  <c r="C20" i="3"/>
  <c r="D19" i="3"/>
  <c r="C19" i="3"/>
  <c r="D18" i="3"/>
  <c r="C18" i="3"/>
  <c r="E5" i="1" l="1"/>
  <c r="F60" i="1" l="1"/>
  <c r="E60" i="1"/>
  <c r="D60" i="1"/>
  <c r="F55" i="1"/>
  <c r="E55" i="1"/>
  <c r="D55" i="1"/>
  <c r="F51" i="1"/>
  <c r="E51" i="1"/>
  <c r="D51" i="1"/>
  <c r="F43" i="1"/>
  <c r="E43" i="1"/>
  <c r="D43" i="1"/>
  <c r="F38" i="1"/>
  <c r="E38" i="1"/>
  <c r="D38" i="1"/>
  <c r="F24" i="1"/>
  <c r="H24" i="1" s="1"/>
  <c r="I24" i="1" s="1"/>
  <c r="E24" i="1"/>
  <c r="D24" i="1"/>
  <c r="F19" i="1"/>
  <c r="E19" i="1"/>
  <c r="D19" i="1"/>
  <c r="F12" i="1"/>
  <c r="E12" i="1"/>
  <c r="D12" i="1"/>
  <c r="F7" i="1"/>
  <c r="F8" i="1"/>
  <c r="F9" i="1"/>
  <c r="H22" i="1"/>
  <c r="I22" i="1" s="1"/>
  <c r="H23" i="1"/>
  <c r="I23" i="1" s="1"/>
  <c r="F47" i="1"/>
  <c r="F46" i="1"/>
  <c r="F45" i="1"/>
  <c r="F20" i="1" l="1"/>
  <c r="F16" i="1"/>
  <c r="F15" i="1"/>
  <c r="E19" i="3" s="1"/>
  <c r="F14" i="1"/>
  <c r="E18" i="3" s="1"/>
  <c r="E17" i="3"/>
  <c r="E20" i="3" l="1"/>
  <c r="E48" i="1"/>
  <c r="D23" i="3" s="1"/>
  <c r="D48" i="1"/>
  <c r="C23" i="3" s="1"/>
  <c r="F48" i="1" l="1"/>
  <c r="C21" i="3"/>
  <c r="D40" i="1"/>
  <c r="C22" i="3" s="1"/>
  <c r="E40" i="1"/>
  <c r="D22" i="3" s="1"/>
  <c r="D21" i="3"/>
  <c r="E21" i="3"/>
  <c r="I48" i="1" l="1"/>
  <c r="E23" i="3"/>
  <c r="H35" i="1"/>
  <c r="F40" i="1"/>
  <c r="E21" i="1"/>
  <c r="E22" i="3" l="1"/>
  <c r="H40" i="1"/>
  <c r="I40" i="1" s="1"/>
  <c r="F21" i="1"/>
  <c r="H21" i="1" s="1"/>
  <c r="I21" i="1" s="1"/>
  <c r="F10" i="1" l="1"/>
  <c r="H10" i="1" s="1"/>
  <c r="I10" i="1" s="1"/>
  <c r="E17" i="1"/>
  <c r="D52" i="1"/>
  <c r="F17" i="1" l="1"/>
  <c r="H17" i="1" s="1"/>
  <c r="I17" i="1" s="1"/>
  <c r="E52" i="1"/>
  <c r="D56" i="1" l="1"/>
  <c r="D61" i="1" s="1"/>
  <c r="F52" i="1"/>
  <c r="H52" i="1" s="1"/>
  <c r="I52" i="1" s="1"/>
  <c r="D24" i="3"/>
  <c r="D25" i="3" s="1"/>
  <c r="E25" i="3" s="1"/>
  <c r="D37" i="3" l="1"/>
  <c r="D40" i="3" s="1"/>
  <c r="C24" i="3"/>
  <c r="E61" i="1"/>
  <c r="F56" i="1"/>
  <c r="E24" i="3" s="1"/>
  <c r="C37" i="3" l="1"/>
  <c r="C40" i="3" s="1"/>
  <c r="F61" i="1"/>
  <c r="E66" i="1" s="1"/>
  <c r="H67" i="1" s="1"/>
  <c r="E40" i="3" l="1"/>
  <c r="H61" i="1"/>
  <c r="I67" i="1"/>
  <c r="H66" i="1"/>
  <c r="I66" i="1" s="1"/>
  <c r="F40" i="3" l="1"/>
  <c r="G40" i="3" s="1"/>
  <c r="F25" i="3"/>
  <c r="G25" i="3" s="1"/>
  <c r="I61" i="1"/>
</calcChain>
</file>

<file path=xl/sharedStrings.xml><?xml version="1.0" encoding="utf-8"?>
<sst xmlns="http://schemas.openxmlformats.org/spreadsheetml/2006/main" count="111" uniqueCount="77">
  <si>
    <t>Project Information Summary</t>
  </si>
  <si>
    <t>Project Name</t>
  </si>
  <si>
    <t>Native Plant Gardens</t>
  </si>
  <si>
    <t>Department Name</t>
  </si>
  <si>
    <t>School of Natural Resources and the Environment</t>
  </si>
  <si>
    <t>Department Number</t>
  </si>
  <si>
    <t>KFS Account Number</t>
  </si>
  <si>
    <t>Subaccount Number</t>
  </si>
  <si>
    <t>Project Code</t>
  </si>
  <si>
    <t>Fiscal Year</t>
  </si>
  <si>
    <t>FY2023</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</si>
  <si>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</si>
  <si>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</si>
  <si>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</si>
  <si>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</si>
  <si>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</si>
  <si>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</si>
  <si>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</si>
  <si>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</si>
  <si>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</si>
  <si>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</si>
  <si>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</si>
  <si>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</si>
  <si>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</si>
  <si>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</si>
  <si>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</si>
  <si>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</si>
  <si>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</si>
  <si>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</si>
  <si>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</si>
  <si>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</si>
  <si>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</si>
  <si>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</si>
  <si>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</si>
  <si>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</si>
  <si>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</si>
  <si>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</si>
  <si>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</si>
  <si>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</si>
  <si>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</si>
  <si>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</si>
  <si>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</si>
  <si>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</si>
  <si>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</si>
  <si>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</si>
  <si>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</si>
  <si>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</si>
  <si>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</si>
  <si>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Plant procurement, Restoration Practioner, Native ethnobotanist honorariums, Sign printing for gardens, Hobo temperature and humidity data loggers </t>
  </si>
  <si>
    <t>Books - Department</t>
  </si>
  <si>
    <t>Educational Supplies</t>
  </si>
  <si>
    <t>Field Supplies</t>
  </si>
  <si>
    <t>Office supplies</t>
  </si>
  <si>
    <t>Other Professional Services (restoration practitioner and plant delivery)</t>
  </si>
  <si>
    <t>postage</t>
  </si>
  <si>
    <t>Research supplies</t>
  </si>
  <si>
    <t xml:space="preserve">Student recruitment </t>
  </si>
  <si>
    <t>shipping and handling</t>
  </si>
  <si>
    <t>IT creation of website (was budgeted for FY24)</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</si>
  <si>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</si>
  <si>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</si>
  <si>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</si>
  <si>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</si>
  <si>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</si>
  <si>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</si>
  <si>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</si>
  <si>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</si>
  <si>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</si>
  <si>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</si>
  <si>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 xml:space="preserve">Was not in original budget, under flagged amount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</si>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</sst>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409]mmmm\ d\,\ yyyy;@"/>
    <numFmt numFmtId="166" formatCode="_([$$-409]* #,##0.00_);_([$$-409]* \(#,##0.00\);_([$$-409]* &quot;-&quot;??_);_(@_)"/>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3">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81">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2" fontId="3" fillId="0" borderId="29" xfId="0" applyNumberFormat="1" applyFont="1" applyBorder="1" applyAlignment="1">
      <alignment horizontal="center" vertical="center"/>
    </xf>
    <xf numFmtId="0" fontId="5" fillId="0" borderId="51" xfId="0" applyFont="1" applyBorder="1" applyAlignment="1">
      <alignment horizontal="left" vertical="center"/>
    </xf>
    <xf numFmtId="0" fontId="5" fillId="0" borderId="61" xfId="0" applyFont="1" applyBorder="1" applyAlignment="1">
      <alignment horizontal="center" vertical="center"/>
    </xf>
    <xf numFmtId="0" fontId="5" fillId="0" borderId="51" xfId="0" applyFont="1" applyBorder="1" applyAlignment="1">
      <alignment horizontal="center" vertical="center"/>
    </xf>
    <xf numFmtId="0" fontId="3" fillId="0" borderId="51" xfId="0" applyFont="1" applyBorder="1" applyAlignment="1">
      <alignment horizontal="left" vertical="center"/>
    </xf>
    <xf numFmtId="166" fontId="3" fillId="0" borderId="61" xfId="0" applyNumberFormat="1" applyFont="1" applyBorder="1" applyAlignment="1">
      <alignment horizontal="center" vertical="center"/>
    </xf>
    <xf numFmtId="166" fontId="3" fillId="0" borderId="62" xfId="0" applyNumberFormat="1" applyFont="1" applyBorder="1" applyAlignment="1">
      <alignment horizontal="center" vertical="center"/>
    </xf>
    <xf numFmtId="0" fontId="3" fillId="0" borderId="51" xfId="0" applyFont="1" applyBorder="1" applyAlignment="1">
      <alignment horizontal="left" vertical="center" wrapText="1"/>
    </xf>
    <xf numFmtId="166" fontId="3" fillId="0" borderId="10" xfId="1" applyNumberFormat="1" applyFont="1" applyFill="1" applyBorder="1" applyAlignment="1">
      <alignment horizontal="center"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7"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topLeftCell="B13" zoomScale="80" zoomScaleNormal="80" workbookViewId="0">
      <selection activeCell="D25" sqref="D25"/>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8" t="str">
        <f>_xlfn.CONCAT("Campus Sustainability Fund - Approved Project Information Summary for", " ",C5)</f>
        <v>Campus Sustainability Fund - Approved Project Information Summary for Native Plant Gardens</v>
      </c>
      <c r="C2" s="149"/>
      <c r="D2" s="149"/>
      <c r="E2" s="149"/>
      <c r="F2" s="149"/>
      <c r="G2" s="150"/>
    </row>
    <row r="3" spans="2:7" ht="15.75" thickBot="1"/>
    <row r="4" spans="2:7" ht="18.75">
      <c r="B4" s="153" t="s">
        <v>0</v>
      </c>
      <c r="C4" s="154"/>
    </row>
    <row r="5" spans="2:7">
      <c r="B5" s="39" t="s">
        <v>1</v>
      </c>
      <c r="C5" s="86" t="s">
        <v>2</v>
      </c>
    </row>
    <row r="6" spans="2:7">
      <c r="B6" s="39" t="s">
        <v>3</v>
      </c>
      <c r="C6" s="86" t="s">
        <v>4</v>
      </c>
    </row>
    <row r="7" spans="2:7">
      <c r="B7" s="39" t="s">
        <v>5</v>
      </c>
      <c r="C7" s="86">
        <v>2412</v>
      </c>
    </row>
    <row r="8" spans="2:7">
      <c r="B8" s="39" t="s">
        <v>6</v>
      </c>
      <c r="C8" s="86">
        <v>2242324</v>
      </c>
    </row>
    <row r="9" spans="2:7">
      <c r="B9" s="39" t="s">
        <v>7</v>
      </c>
      <c r="C9" s="136">
        <v>23.5</v>
      </c>
    </row>
    <row r="10" spans="2:7">
      <c r="B10" s="39" t="s">
        <v>8</v>
      </c>
      <c r="C10" s="136">
        <v>23.5</v>
      </c>
    </row>
    <row r="11" spans="2:7">
      <c r="B11" s="48" t="s">
        <v>9</v>
      </c>
      <c r="C11" s="87" t="s">
        <v>10</v>
      </c>
    </row>
    <row r="12" spans="2:7">
      <c r="B12" s="48" t="s">
        <v>11</v>
      </c>
      <c r="C12" s="124">
        <v>44743</v>
      </c>
    </row>
    <row r="13" spans="2:7" ht="15.75" thickBot="1">
      <c r="B13" s="40" t="s">
        <v>12</v>
      </c>
      <c r="C13" s="125">
        <v>45838</v>
      </c>
    </row>
    <row r="14" spans="2:7" ht="15.75" thickBot="1"/>
    <row r="15" spans="2:7" ht="19.5" thickBot="1">
      <c r="B15" s="145" t="s">
        <v>13</v>
      </c>
      <c r="C15" s="146"/>
      <c r="D15" s="146"/>
      <c r="E15" s="147"/>
      <c r="F15" s="108"/>
    </row>
    <row r="16" spans="2:7">
      <c r="B16" s="41"/>
      <c r="C16" s="78" t="str">
        <f>_xlfn.CONCAT(C11, " ", "Approved Budget")</f>
        <v>FY2023 Approved Budget</v>
      </c>
      <c r="D16" s="46" t="str">
        <f>_xlfn.CONCAT(C11, " ", "Expenses")</f>
        <v>FY2023 Expenses</v>
      </c>
      <c r="E16" s="110" t="str">
        <f>_xlfn.CONCAT(C11, " ", "Difference")</f>
        <v>FY2023 Difference</v>
      </c>
      <c r="F16" s="108"/>
    </row>
    <row r="17" spans="1:7">
      <c r="B17" s="42" t="s">
        <v>14</v>
      </c>
      <c r="C17" s="84">
        <f>'Operating Budget'!D6+'Operating Budget'!D13</f>
        <v>7613.27</v>
      </c>
      <c r="D17" s="109">
        <f>'Operating Budget'!E6+'Operating Budget'!E13</f>
        <v>0</v>
      </c>
      <c r="E17" s="111">
        <f>'Operating Budget'!F6+'Operating Budget'!F13</f>
        <v>7613.27</v>
      </c>
      <c r="F17" s="108"/>
    </row>
    <row r="18" spans="1:7">
      <c r="B18" s="42" t="s">
        <v>15</v>
      </c>
      <c r="C18" s="84">
        <f>'Operating Budget'!D7+'Operating Budget'!D14</f>
        <v>0</v>
      </c>
      <c r="D18" s="109">
        <f>'Operating Budget'!E7+'Operating Budget'!E14</f>
        <v>0</v>
      </c>
      <c r="E18" s="111">
        <f>'Operating Budget'!F7+'Operating Budget'!F14</f>
        <v>0</v>
      </c>
      <c r="F18" s="108"/>
    </row>
    <row r="19" spans="1:7">
      <c r="B19" s="42" t="s">
        <v>16</v>
      </c>
      <c r="C19" s="84">
        <f>'Operating Budget'!D8+'Operating Budget'!D15</f>
        <v>0</v>
      </c>
      <c r="D19" s="109">
        <f>'Operating Budget'!E8+'Operating Budget'!E15</f>
        <v>0</v>
      </c>
      <c r="E19" s="111">
        <f>'Operating Budget'!F8+'Operating Budget'!F15</f>
        <v>0</v>
      </c>
      <c r="F19" s="108"/>
    </row>
    <row r="20" spans="1:7">
      <c r="B20" s="42" t="s">
        <v>17</v>
      </c>
      <c r="C20" s="84">
        <f>'Operating Budget'!D9+'Operating Budget'!D16+'Operating Budget'!D20</f>
        <v>0</v>
      </c>
      <c r="D20" s="109">
        <f>'Operating Budget'!E9+'Operating Budget'!E16+'Operating Budget'!E20</f>
        <v>0</v>
      </c>
      <c r="E20" s="111">
        <f>'Operating Budget'!F9+'Operating Budget'!F16+'Operating Budget'!F20</f>
        <v>0</v>
      </c>
      <c r="F20" s="108"/>
    </row>
    <row r="21" spans="1:7">
      <c r="B21" s="42" t="s">
        <v>18</v>
      </c>
      <c r="C21" s="84">
        <f>'Operating Budget'!D35</f>
        <v>18996</v>
      </c>
      <c r="D21" s="109">
        <f>'Operating Budget'!E35</f>
        <v>22090.240000000002</v>
      </c>
      <c r="E21" s="111">
        <f>'Operating Budget'!F35</f>
        <v>-3094.2400000000016</v>
      </c>
      <c r="F21" s="108"/>
    </row>
    <row r="22" spans="1:7">
      <c r="B22" s="42" t="s">
        <v>19</v>
      </c>
      <c r="C22" s="84">
        <f>'Operating Budget'!D40</f>
        <v>0</v>
      </c>
      <c r="D22" s="109">
        <f>'Operating Budget'!E40</f>
        <v>0</v>
      </c>
      <c r="E22" s="111">
        <f>'Operating Budget'!F40</f>
        <v>0</v>
      </c>
      <c r="F22" s="108"/>
    </row>
    <row r="23" spans="1:7">
      <c r="B23" s="43" t="s">
        <v>20</v>
      </c>
      <c r="C23" s="84">
        <f>'Operating Budget'!D48</f>
        <v>0</v>
      </c>
      <c r="D23" s="109">
        <f>'Operating Budget'!E48</f>
        <v>1263.02</v>
      </c>
      <c r="E23" s="111">
        <f>'Operating Budget'!F48</f>
        <v>-1263.02</v>
      </c>
      <c r="F23" s="108"/>
    </row>
    <row r="24" spans="1:7" ht="15.75" thickBot="1">
      <c r="B24" s="44" t="s">
        <v>21</v>
      </c>
      <c r="C24" s="85">
        <f>'Operating Budget'!D56</f>
        <v>540</v>
      </c>
      <c r="D24" s="112">
        <f>'Operating Budget'!E56</f>
        <v>387.08</v>
      </c>
      <c r="E24" s="113">
        <f>'Operating Budget'!F56</f>
        <v>152.92000000000002</v>
      </c>
      <c r="F24" s="108"/>
    </row>
    <row r="25" spans="1:7" ht="19.5" thickBot="1">
      <c r="A25" s="7"/>
      <c r="B25" s="114" t="s">
        <v>22</v>
      </c>
      <c r="C25" s="133">
        <f>'Operating Budget'!D61</f>
        <v>27200</v>
      </c>
      <c r="D25" s="133">
        <f t="shared" ref="D25:E25" si="0">SUM(D17:D24)</f>
        <v>23740.340000000004</v>
      </c>
      <c r="E25" s="134">
        <f>C25-D25</f>
        <v>3459.6599999999962</v>
      </c>
      <c r="F25" s="66" t="str">
        <f>'Operating Budget'!H61</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51" t="s">
        <v>23</v>
      </c>
      <c r="C27" s="146"/>
      <c r="D27" s="146"/>
      <c r="E27" s="152"/>
      <c r="F27" s="108"/>
    </row>
    <row r="28" spans="1:7">
      <c r="A28" s="7"/>
      <c r="B28" s="118" t="str">
        <f>_xlfn.CONCAT(C11, " ", "Additional Funding Source(s) &amp; Description(s)")</f>
        <v>FY2023 Additional Funding Source(s) &amp; Description(s)</v>
      </c>
      <c r="C28" s="78" t="str">
        <f>_xlfn.CONCAT(C11, " ", "Additional Funding Source(s) Budget")</f>
        <v>FY2023 Additional Funding Source(s) Budget</v>
      </c>
      <c r="D28" s="116" t="str">
        <f>_xlfn.CONCAT(C11, " ", "Additional Funding Expenses")</f>
        <v>FY2023 Additional Funding Expenses</v>
      </c>
      <c r="E28" s="47" t="str">
        <f>_xlfn.CONCAT(C11, " ", "Difference")</f>
        <v>FY2023 Difference</v>
      </c>
      <c r="F28" s="115"/>
    </row>
    <row r="29" spans="1:7">
      <c r="A29" s="7"/>
      <c r="B29" s="119"/>
      <c r="C29" s="135"/>
      <c r="D29" s="121"/>
      <c r="E29" s="53">
        <f>C29-D29</f>
        <v>0</v>
      </c>
      <c r="F29" s="108"/>
    </row>
    <row r="30" spans="1:7">
      <c r="A30" s="7"/>
      <c r="B30" s="119"/>
      <c r="C30" s="122"/>
      <c r="D30" s="121"/>
      <c r="E30" s="53">
        <f t="shared" ref="E30:E33" si="1">B30-D30</f>
        <v>0</v>
      </c>
      <c r="F30" s="108"/>
    </row>
    <row r="31" spans="1:7">
      <c r="A31" s="7"/>
      <c r="B31" s="119"/>
      <c r="C31" s="122"/>
      <c r="D31" s="121"/>
      <c r="E31" s="53">
        <f t="shared" si="1"/>
        <v>0</v>
      </c>
      <c r="F31" s="108"/>
    </row>
    <row r="32" spans="1:7">
      <c r="A32" s="7"/>
      <c r="B32" s="119"/>
      <c r="C32" s="122"/>
      <c r="D32" s="121"/>
      <c r="E32" s="53">
        <f t="shared" si="1"/>
        <v>0</v>
      </c>
      <c r="F32" s="108"/>
    </row>
    <row r="33" spans="1:7">
      <c r="A33" s="7"/>
      <c r="B33" s="119"/>
      <c r="C33" s="122"/>
      <c r="D33" s="121"/>
      <c r="E33" s="53">
        <f t="shared" si="1"/>
        <v>0</v>
      </c>
      <c r="F33" s="108"/>
    </row>
    <row r="34" spans="1:7" ht="19.5" thickBot="1">
      <c r="A34" s="7"/>
      <c r="B34" s="120" t="s">
        <v>24</v>
      </c>
      <c r="C34" s="117">
        <f>SUM(C29:C33)</f>
        <v>0</v>
      </c>
      <c r="D34" s="104">
        <f t="shared" ref="D34:E34" si="2">SUM(D29:D33)</f>
        <v>0</v>
      </c>
      <c r="E34" s="105">
        <f t="shared" si="2"/>
        <v>0</v>
      </c>
      <c r="F34" s="108"/>
    </row>
    <row r="35" spans="1:7" ht="19.5" thickBot="1">
      <c r="B35" s="103"/>
      <c r="C35" s="106"/>
      <c r="D35" s="106"/>
      <c r="E35" s="106"/>
    </row>
    <row r="36" spans="1:7">
      <c r="B36" s="155" t="s">
        <v>25</v>
      </c>
      <c r="C36" s="126" t="str">
        <f>_xlfn.CONCAT(C11, " ", "Approved Project Budget")</f>
        <v>FY2023 Approved Project Budget</v>
      </c>
      <c r="D36" s="126" t="str">
        <f>_xlfn.CONCAT(C11," ","Expenses")</f>
        <v>FY2023 Expenses</v>
      </c>
      <c r="E36" s="129"/>
    </row>
    <row r="37" spans="1:7" s="7" customFormat="1" ht="15.75" thickBot="1">
      <c r="B37" s="156"/>
      <c r="C37" s="63">
        <f>SUM(C34,C25)</f>
        <v>27200</v>
      </c>
      <c r="D37" s="63">
        <f>D25+D34</f>
        <v>23740.340000000004</v>
      </c>
      <c r="E37" s="130"/>
      <c r="F37" s="108"/>
    </row>
    <row r="38" spans="1:7" s="7" customFormat="1" ht="19.5" thickBot="1">
      <c r="B38" s="103"/>
      <c r="C38" s="107"/>
      <c r="D38" s="107"/>
      <c r="E38" s="107"/>
      <c r="F38" s="108"/>
    </row>
    <row r="39" spans="1:7" s="7" customFormat="1" ht="30">
      <c r="B39" s="155" t="s">
        <v>26</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c r="B40" s="156"/>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opLeftCell="C2" zoomScale="110" zoomScaleNormal="110" workbookViewId="0">
      <selection activeCell="I35" sqref="I35"/>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8" t="str">
        <f>_xlfn.CONCAT("Campus Sustainability Fund - Approved Operating Budget for", " ",'Project Information Summary'!C5)</f>
        <v>Campus Sustainability Fund - Approved Operating Budget for Native Plant Gardens</v>
      </c>
      <c r="C2" s="149"/>
      <c r="D2" s="149"/>
      <c r="E2" s="149"/>
      <c r="F2" s="149"/>
      <c r="G2" s="150"/>
    </row>
    <row r="3" spans="1:9" ht="15.75" thickBot="1">
      <c r="B3" s="3"/>
      <c r="C3" s="4"/>
      <c r="D3" s="4"/>
      <c r="E3" s="4"/>
      <c r="F3" s="4"/>
      <c r="G3" s="88"/>
    </row>
    <row r="4" spans="1:9" ht="19.5" thickBot="1">
      <c r="B4" s="157" t="s">
        <v>27</v>
      </c>
      <c r="C4" s="158"/>
      <c r="D4" s="158"/>
      <c r="E4" s="158"/>
      <c r="F4" s="158"/>
      <c r="G4" s="159"/>
    </row>
    <row r="5" spans="1:9">
      <c r="A5" s="7"/>
      <c r="B5" s="5" t="s">
        <v>28</v>
      </c>
      <c r="C5" s="6" t="s">
        <v>29</v>
      </c>
      <c r="D5" s="45" t="str">
        <f>'Project Information Summary'!C16</f>
        <v>FY2023 Approved Budget</v>
      </c>
      <c r="E5" s="46" t="str">
        <f>'Project Information Summary'!D16</f>
        <v>FY2023 Expenses</v>
      </c>
      <c r="F5" s="47" t="str">
        <f>'Project Information Summary'!E16</f>
        <v>FY2023 Difference</v>
      </c>
      <c r="G5" s="89" t="s">
        <v>30</v>
      </c>
    </row>
    <row r="6" spans="1:9" ht="15" customHeight="1">
      <c r="B6" s="8" t="s">
        <v>31</v>
      </c>
      <c r="C6" s="79" t="s">
        <v>32</v>
      </c>
      <c r="D6" s="51">
        <v>5772</v>
      </c>
      <c r="E6" s="68">
        <v>0</v>
      </c>
      <c r="F6" s="37">
        <f t="shared" ref="F6:F10" si="0">D6-E6</f>
        <v>5772</v>
      </c>
      <c r="G6" s="90"/>
      <c r="H6" s="66"/>
      <c r="I6" s="57"/>
    </row>
    <row r="7" spans="1:9">
      <c r="B7" s="8" t="s">
        <v>31</v>
      </c>
      <c r="C7" s="79" t="s">
        <v>33</v>
      </c>
      <c r="D7" s="51"/>
      <c r="E7" s="68"/>
      <c r="F7" s="37">
        <f t="shared" si="0"/>
        <v>0</v>
      </c>
      <c r="G7" s="90"/>
      <c r="H7" s="66"/>
      <c r="I7" s="57"/>
    </row>
    <row r="8" spans="1:9">
      <c r="B8" s="8" t="s">
        <v>31</v>
      </c>
      <c r="C8" s="79" t="s">
        <v>34</v>
      </c>
      <c r="D8" s="51"/>
      <c r="E8" s="68"/>
      <c r="F8" s="37">
        <f t="shared" si="0"/>
        <v>0</v>
      </c>
      <c r="G8" s="90"/>
      <c r="H8" s="66"/>
      <c r="I8" s="57"/>
    </row>
    <row r="9" spans="1:9" ht="15.75" thickBot="1">
      <c r="B9" s="10" t="s">
        <v>31</v>
      </c>
      <c r="C9" s="80" t="s">
        <v>35</v>
      </c>
      <c r="D9" s="52"/>
      <c r="E9" s="69"/>
      <c r="F9" s="38">
        <f t="shared" si="0"/>
        <v>0</v>
      </c>
      <c r="G9" s="90"/>
      <c r="H9" s="66"/>
      <c r="I9" s="57"/>
    </row>
    <row r="10" spans="1:9" ht="19.5" thickBot="1">
      <c r="B10" s="162" t="s">
        <v>36</v>
      </c>
      <c r="C10" s="165"/>
      <c r="D10" s="12">
        <f>SUM(D6:D9)</f>
        <v>5772</v>
      </c>
      <c r="E10" s="13">
        <f>SUM(E6:E9)</f>
        <v>0</v>
      </c>
      <c r="F10" s="81">
        <f t="shared" si="0"/>
        <v>5772</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28</v>
      </c>
      <c r="C12" s="6" t="s">
        <v>29</v>
      </c>
      <c r="D12" s="16" t="str">
        <f>$D$5</f>
        <v>FY2023 Approved Budget</v>
      </c>
      <c r="E12" s="2" t="str">
        <f>$E$5</f>
        <v>FY2023 Expenses</v>
      </c>
      <c r="F12" s="17" t="str">
        <f>$F$5</f>
        <v>FY2023 Difference</v>
      </c>
      <c r="G12" s="89" t="s">
        <v>30</v>
      </c>
      <c r="H12" s="66"/>
      <c r="I12" s="57"/>
    </row>
    <row r="13" spans="1:9">
      <c r="B13" s="8" t="s">
        <v>37</v>
      </c>
      <c r="C13" s="9" t="s">
        <v>38</v>
      </c>
      <c r="D13" s="70">
        <v>1841.27</v>
      </c>
      <c r="E13" s="71">
        <v>0</v>
      </c>
      <c r="F13" s="37">
        <f t="shared" ref="F13:F17" si="2">D13-E13</f>
        <v>1841.27</v>
      </c>
      <c r="G13" s="90"/>
      <c r="H13" s="66"/>
      <c r="I13" s="57"/>
    </row>
    <row r="14" spans="1:9">
      <c r="B14" s="8" t="s">
        <v>37</v>
      </c>
      <c r="C14" s="9" t="s">
        <v>39</v>
      </c>
      <c r="D14" s="70"/>
      <c r="E14" s="71"/>
      <c r="F14" s="37">
        <f t="shared" si="2"/>
        <v>0</v>
      </c>
      <c r="G14" s="90"/>
      <c r="H14" s="66"/>
      <c r="I14" s="57"/>
    </row>
    <row r="15" spans="1:9">
      <c r="B15" s="8" t="s">
        <v>37</v>
      </c>
      <c r="C15" s="9" t="s">
        <v>40</v>
      </c>
      <c r="D15" s="70"/>
      <c r="E15" s="71"/>
      <c r="F15" s="37">
        <f t="shared" si="2"/>
        <v>0</v>
      </c>
      <c r="G15" s="90"/>
      <c r="H15" s="66"/>
      <c r="I15" s="57"/>
    </row>
    <row r="16" spans="1:9" ht="15.75" thickBot="1">
      <c r="B16" s="10" t="s">
        <v>37</v>
      </c>
      <c r="C16" s="11" t="s">
        <v>41</v>
      </c>
      <c r="D16" s="72"/>
      <c r="E16" s="73"/>
      <c r="F16" s="38">
        <f t="shared" si="2"/>
        <v>0</v>
      </c>
      <c r="G16" s="90"/>
      <c r="H16" s="66"/>
      <c r="I16" s="57"/>
    </row>
    <row r="17" spans="1:9" ht="20.25" thickTop="1" thickBot="1">
      <c r="B17" s="162" t="s">
        <v>42</v>
      </c>
      <c r="C17" s="163"/>
      <c r="D17" s="18">
        <f>SUM(D13:D16)</f>
        <v>1841.27</v>
      </c>
      <c r="E17" s="19">
        <f t="shared" ref="E17" si="3">SUM(E13:E16)</f>
        <v>0</v>
      </c>
      <c r="F17" s="50">
        <f t="shared" si="2"/>
        <v>1841.27</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28</v>
      </c>
      <c r="C19" s="6" t="s">
        <v>29</v>
      </c>
      <c r="D19" s="45" t="str">
        <f>$D$5</f>
        <v>FY2023 Approved Budget</v>
      </c>
      <c r="E19" s="46" t="str">
        <f>$E$5</f>
        <v>FY2023 Expenses</v>
      </c>
      <c r="F19" s="47" t="str">
        <f>$F$5</f>
        <v>FY2023 Difference</v>
      </c>
      <c r="G19" s="89" t="s">
        <v>30</v>
      </c>
      <c r="H19" s="66"/>
      <c r="I19" s="57"/>
    </row>
    <row r="20" spans="1:9" ht="15.75" thickBot="1">
      <c r="B20" s="21" t="s">
        <v>43</v>
      </c>
      <c r="C20" s="22" t="s">
        <v>43</v>
      </c>
      <c r="D20" s="72"/>
      <c r="E20" s="73"/>
      <c r="F20" s="38">
        <f t="shared" ref="F20:F21" si="5">D20-E20</f>
        <v>0</v>
      </c>
      <c r="G20" s="90"/>
      <c r="H20" s="66"/>
      <c r="I20" s="57"/>
    </row>
    <row r="21" spans="1:9" ht="19.5" thickBot="1">
      <c r="B21" s="160" t="s">
        <v>44</v>
      </c>
      <c r="C21" s="164"/>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52"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57" t="s">
        <v>45</v>
      </c>
      <c r="C23" s="158"/>
      <c r="D23" s="158"/>
      <c r="E23" s="158"/>
      <c r="F23" s="158"/>
      <c r="G23" s="159"/>
      <c r="H23" s="66" t="str">
        <f t="shared" si="8"/>
        <v xml:space="preserve"> </v>
      </c>
      <c r="I23" s="57" t="str">
        <f t="shared" si="9"/>
        <v xml:space="preserve"> </v>
      </c>
    </row>
    <row r="24" spans="1:9">
      <c r="A24" s="7"/>
      <c r="B24" s="5" t="s">
        <v>46</v>
      </c>
      <c r="C24" s="58" t="s">
        <v>29</v>
      </c>
      <c r="D24" s="45" t="str">
        <f>$D$5</f>
        <v>FY2023 Approved Budget</v>
      </c>
      <c r="E24" s="46" t="str">
        <f>$E$5</f>
        <v>FY2023 Expenses</v>
      </c>
      <c r="F24" s="47" t="str">
        <f>$F$5</f>
        <v>FY2023 Difference</v>
      </c>
      <c r="G24" s="89" t="s">
        <v>30</v>
      </c>
      <c r="H24" s="66" t="str">
        <f t="shared" si="8"/>
        <v xml:space="preserve"> </v>
      </c>
      <c r="I24" s="57" t="str">
        <f t="shared" si="9"/>
        <v xml:space="preserve"> </v>
      </c>
    </row>
    <row r="25" spans="1:9" ht="45.75">
      <c r="A25" s="7"/>
      <c r="B25" s="8" t="s">
        <v>47</v>
      </c>
      <c r="C25" s="143" t="s">
        <v>48</v>
      </c>
      <c r="D25" s="141">
        <v>18996</v>
      </c>
      <c r="E25" s="142">
        <v>111.48</v>
      </c>
      <c r="F25" s="139"/>
      <c r="G25" s="90" t="s">
        <v>49</v>
      </c>
      <c r="H25" s="66"/>
      <c r="I25" s="57"/>
    </row>
    <row r="26" spans="1:9">
      <c r="A26" s="7"/>
      <c r="B26" s="8" t="s">
        <v>47</v>
      </c>
      <c r="C26" s="140"/>
      <c r="D26" s="141"/>
      <c r="E26" s="142">
        <v>475.92</v>
      </c>
      <c r="F26" s="139"/>
      <c r="G26" s="90" t="s">
        <v>50</v>
      </c>
      <c r="H26" s="66"/>
      <c r="I26" s="57"/>
    </row>
    <row r="27" spans="1:9">
      <c r="A27" s="7"/>
      <c r="B27" s="8" t="s">
        <v>47</v>
      </c>
      <c r="C27" s="140"/>
      <c r="D27" s="141"/>
      <c r="E27" s="142">
        <v>3400.89</v>
      </c>
      <c r="F27" s="139"/>
      <c r="G27" s="90" t="s">
        <v>51</v>
      </c>
      <c r="H27" s="66"/>
      <c r="I27" s="57"/>
    </row>
    <row r="28" spans="1:9">
      <c r="A28" s="7"/>
      <c r="B28" s="8" t="s">
        <v>47</v>
      </c>
      <c r="C28" s="140"/>
      <c r="D28" s="141"/>
      <c r="E28" s="142">
        <v>78.260000000000005</v>
      </c>
      <c r="F28" s="139"/>
      <c r="G28" s="90" t="s">
        <v>52</v>
      </c>
      <c r="H28" s="66"/>
      <c r="I28" s="57"/>
    </row>
    <row r="29" spans="1:9" ht="30.75">
      <c r="A29" s="7"/>
      <c r="B29" s="8" t="s">
        <v>47</v>
      </c>
      <c r="C29" s="140"/>
      <c r="D29" s="141"/>
      <c r="E29" s="142">
        <v>13371</v>
      </c>
      <c r="F29" s="139"/>
      <c r="G29" s="90" t="s">
        <v>53</v>
      </c>
      <c r="H29" s="66"/>
      <c r="I29" s="57"/>
    </row>
    <row r="30" spans="1:9">
      <c r="A30" s="7"/>
      <c r="B30" s="8" t="s">
        <v>47</v>
      </c>
      <c r="C30" s="137"/>
      <c r="D30" s="138"/>
      <c r="E30" s="142">
        <v>5.4</v>
      </c>
      <c r="F30" s="139"/>
      <c r="G30" s="90" t="s">
        <v>54</v>
      </c>
      <c r="H30" s="66"/>
      <c r="I30" s="57"/>
    </row>
    <row r="31" spans="1:9">
      <c r="A31" s="7"/>
      <c r="B31" s="8"/>
      <c r="C31" s="137"/>
      <c r="D31" s="138"/>
      <c r="E31" s="142">
        <v>348.04</v>
      </c>
      <c r="F31" s="139"/>
      <c r="G31" s="90" t="s">
        <v>55</v>
      </c>
      <c r="H31" s="66"/>
      <c r="I31" s="57"/>
    </row>
    <row r="32" spans="1:9">
      <c r="A32" s="7"/>
      <c r="B32" s="8"/>
      <c r="C32" s="137"/>
      <c r="D32" s="138"/>
      <c r="E32" s="142">
        <v>277.98</v>
      </c>
      <c r="F32" s="139"/>
      <c r="G32" s="90" t="s">
        <v>56</v>
      </c>
      <c r="H32" s="66"/>
      <c r="I32" s="57"/>
    </row>
    <row r="33" spans="1:9">
      <c r="A33" s="7"/>
      <c r="B33" s="8"/>
      <c r="C33" s="137"/>
      <c r="D33" s="138"/>
      <c r="E33" s="144">
        <v>21.27</v>
      </c>
      <c r="F33" s="139"/>
      <c r="G33" s="90" t="s">
        <v>57</v>
      </c>
      <c r="H33" s="66"/>
      <c r="I33" s="57"/>
    </row>
    <row r="34" spans="1:9">
      <c r="B34" s="8" t="s">
        <v>47</v>
      </c>
      <c r="C34" s="9"/>
      <c r="D34" s="82"/>
      <c r="E34" s="144">
        <v>4000</v>
      </c>
      <c r="F34" s="53"/>
      <c r="G34" s="90" t="s">
        <v>58</v>
      </c>
      <c r="H34" s="66"/>
      <c r="I34" s="57"/>
    </row>
    <row r="35" spans="1:9" ht="53.25" customHeight="1" thickTop="1" thickBot="1">
      <c r="B35" s="160" t="s">
        <v>59</v>
      </c>
      <c r="C35" s="161"/>
      <c r="D35" s="18">
        <f>SUM(D25:D34)</f>
        <v>18996</v>
      </c>
      <c r="E35" s="19">
        <f>SUM(E25:E34)</f>
        <v>22090.240000000002</v>
      </c>
      <c r="F35" s="20">
        <f>SUM(D35-E35)</f>
        <v>-3094.2400000000016</v>
      </c>
      <c r="G35" s="93"/>
      <c r="H35" s="66" t="str">
        <f t="shared" si="8"/>
        <v>OVER APPROVED BUDGET</v>
      </c>
      <c r="I35" s="123"/>
    </row>
    <row r="36" spans="1:9" ht="15.75" thickBot="1">
      <c r="B36" s="23"/>
      <c r="C36" s="24"/>
      <c r="D36" s="25"/>
      <c r="E36" s="25"/>
      <c r="F36" s="25"/>
      <c r="G36" s="94"/>
      <c r="H36" s="66"/>
      <c r="I36" s="57"/>
    </row>
    <row r="37" spans="1:9" ht="19.5" thickBot="1">
      <c r="B37" s="157" t="s">
        <v>60</v>
      </c>
      <c r="C37" s="158"/>
      <c r="D37" s="158"/>
      <c r="E37" s="158"/>
      <c r="F37" s="158"/>
      <c r="G37" s="159"/>
      <c r="H37" s="66"/>
      <c r="I37" s="57"/>
    </row>
    <row r="38" spans="1:9">
      <c r="A38" s="7"/>
      <c r="B38" s="5" t="s">
        <v>61</v>
      </c>
      <c r="C38" s="6" t="s">
        <v>29</v>
      </c>
      <c r="D38" s="45" t="str">
        <f>$D$5</f>
        <v>FY2023 Approved Budget</v>
      </c>
      <c r="E38" s="46" t="str">
        <f>$E$5</f>
        <v>FY2023 Expenses</v>
      </c>
      <c r="F38" s="47" t="str">
        <f>$F$5</f>
        <v>FY2023 Difference</v>
      </c>
      <c r="G38" s="89" t="s">
        <v>30</v>
      </c>
      <c r="H38" s="66"/>
      <c r="I38" s="57"/>
    </row>
    <row r="39" spans="1:9" ht="15.75" thickBot="1">
      <c r="B39" s="8" t="s">
        <v>60</v>
      </c>
      <c r="C39" s="9"/>
      <c r="D39" s="51"/>
      <c r="E39" s="68"/>
      <c r="F39" s="53">
        <f t="shared" ref="F39" si="10">D39-E39</f>
        <v>0</v>
      </c>
      <c r="G39" s="95"/>
      <c r="H39" s="66"/>
      <c r="I39" s="57"/>
    </row>
    <row r="40" spans="1:9" ht="20.25" thickTop="1" thickBot="1">
      <c r="B40" s="162" t="s">
        <v>62</v>
      </c>
      <c r="C40" s="163"/>
      <c r="D40" s="18">
        <f>SUM(D39:D39)</f>
        <v>0</v>
      </c>
      <c r="E40" s="19">
        <f>SUM(E39:E39)</f>
        <v>0</v>
      </c>
      <c r="F40" s="20">
        <f>D40-E40</f>
        <v>0</v>
      </c>
      <c r="G40" s="93"/>
      <c r="H40" s="66" t="str">
        <f t="shared" ref="H40" si="11">IF(F40&lt;0,"OVER APPROVED BUDGET"," ")</f>
        <v xml:space="preserve"> </v>
      </c>
      <c r="I40" s="123" t="str">
        <f>IF(H40="OVER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1" spans="1:9" ht="15.75" thickBot="1">
      <c r="B41" s="26"/>
      <c r="C41" s="27"/>
      <c r="D41" s="15"/>
      <c r="E41" s="15"/>
      <c r="F41" s="15"/>
      <c r="G41" s="92"/>
      <c r="H41" s="66"/>
      <c r="I41" s="57"/>
    </row>
    <row r="42" spans="1:9" ht="19.5" thickBot="1">
      <c r="B42" s="157" t="s">
        <v>63</v>
      </c>
      <c r="C42" s="158"/>
      <c r="D42" s="158"/>
      <c r="E42" s="158"/>
      <c r="F42" s="158"/>
      <c r="G42" s="159"/>
      <c r="H42" s="66"/>
      <c r="I42" s="57"/>
    </row>
    <row r="43" spans="1:9">
      <c r="A43" s="7"/>
      <c r="B43" s="5" t="s">
        <v>61</v>
      </c>
      <c r="C43" s="6" t="s">
        <v>29</v>
      </c>
      <c r="D43" s="45" t="str">
        <f>$D$5</f>
        <v>FY2023 Approved Budget</v>
      </c>
      <c r="E43" s="46" t="str">
        <f>$E$5</f>
        <v>FY2023 Expenses</v>
      </c>
      <c r="F43" s="47" t="str">
        <f>$F$5</f>
        <v>FY2023 Difference</v>
      </c>
      <c r="G43" s="89" t="s">
        <v>30</v>
      </c>
      <c r="H43" s="66"/>
      <c r="I43" s="57"/>
    </row>
    <row r="44" spans="1:9">
      <c r="B44" s="8" t="s">
        <v>64</v>
      </c>
      <c r="C44" s="74"/>
      <c r="D44" s="51"/>
      <c r="E44" s="68">
        <v>1263.02</v>
      </c>
      <c r="F44" s="53">
        <f t="shared" ref="F44" si="12">D44-E44</f>
        <v>-1263.02</v>
      </c>
      <c r="G44" s="96"/>
      <c r="H44" s="66"/>
      <c r="I44" s="57"/>
    </row>
    <row r="45" spans="1:9">
      <c r="B45" s="8" t="s">
        <v>65</v>
      </c>
      <c r="C45" s="74"/>
      <c r="D45" s="51"/>
      <c r="E45" s="68"/>
      <c r="F45" s="53">
        <f t="shared" ref="F45:F46" si="13">D45-E45</f>
        <v>0</v>
      </c>
      <c r="G45" s="96"/>
      <c r="H45" s="66"/>
      <c r="I45" s="57"/>
    </row>
    <row r="46" spans="1:9">
      <c r="B46" s="49" t="s">
        <v>66</v>
      </c>
      <c r="C46" s="75"/>
      <c r="D46" s="55"/>
      <c r="E46" s="76"/>
      <c r="F46" s="53">
        <f t="shared" si="13"/>
        <v>0</v>
      </c>
      <c r="G46" s="96"/>
      <c r="H46" s="66"/>
      <c r="I46" s="57"/>
    </row>
    <row r="47" spans="1:9" ht="15.75" thickBot="1">
      <c r="B47" s="10" t="s">
        <v>67</v>
      </c>
      <c r="C47" s="77"/>
      <c r="D47" s="52"/>
      <c r="E47" s="69"/>
      <c r="F47" s="54">
        <f>D47-E47</f>
        <v>0</v>
      </c>
      <c r="G47" s="96"/>
      <c r="H47" s="66"/>
      <c r="I47" s="57"/>
    </row>
    <row r="48" spans="1:9" ht="18.75">
      <c r="B48" s="160" t="s">
        <v>68</v>
      </c>
      <c r="C48" s="164"/>
      <c r="D48" s="18">
        <f>SUM(D44:D47)</f>
        <v>0</v>
      </c>
      <c r="E48" s="19">
        <f>SUM(E44:E47)</f>
        <v>1263.02</v>
      </c>
      <c r="F48" s="20">
        <f>D48-E48</f>
        <v>-1263.02</v>
      </c>
      <c r="G48" s="93" t="s">
        <v>69</v>
      </c>
      <c r="H48" s="66"/>
      <c r="I48" s="123" t="str">
        <f>IF(H48="OVER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9" spans="1:9" ht="15.75" thickBot="1">
      <c r="B49" s="23"/>
      <c r="C49" s="24"/>
      <c r="D49" s="25"/>
      <c r="E49" s="25"/>
      <c r="F49" s="25"/>
      <c r="G49" s="94"/>
      <c r="H49" s="66"/>
      <c r="I49" s="57"/>
    </row>
    <row r="50" spans="1:9" ht="19.5" thickBot="1">
      <c r="B50" s="174" t="s">
        <v>70</v>
      </c>
      <c r="C50" s="175"/>
      <c r="D50" s="175"/>
      <c r="E50" s="175"/>
      <c r="F50" s="175"/>
      <c r="G50" s="176"/>
      <c r="H50" s="66"/>
      <c r="I50" s="57"/>
    </row>
    <row r="51" spans="1:9">
      <c r="A51" s="7"/>
      <c r="B51" s="14"/>
      <c r="C51" s="15"/>
      <c r="D51" s="45" t="str">
        <f>$D$5</f>
        <v>FY2023 Approved Budget</v>
      </c>
      <c r="E51" s="46" t="str">
        <f>$E$5</f>
        <v>FY2023 Expenses</v>
      </c>
      <c r="F51" s="47" t="str">
        <f>$F$5</f>
        <v>FY2023 Difference</v>
      </c>
      <c r="G51" s="89" t="s">
        <v>30</v>
      </c>
      <c r="H51" s="66"/>
      <c r="I51" s="57"/>
    </row>
    <row r="52" spans="1:9" ht="19.5" thickBot="1">
      <c r="B52" s="162" t="s">
        <v>71</v>
      </c>
      <c r="C52" s="163"/>
      <c r="D52" s="35">
        <f>SUM(D10,D17,D21,D35,D40,D48,)</f>
        <v>26609.27</v>
      </c>
      <c r="E52" s="36">
        <f>SUM(E10,E17,E21,E35,E40,E48,)</f>
        <v>23353.260000000002</v>
      </c>
      <c r="F52" s="62">
        <f>D52-E52</f>
        <v>3256.0099999999984</v>
      </c>
      <c r="G52" s="93"/>
      <c r="H52" s="66" t="str">
        <f t="shared" si="8"/>
        <v xml:space="preserve"> </v>
      </c>
      <c r="I52" s="123"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1:9" ht="15.75" thickBot="1">
      <c r="B53" s="23"/>
      <c r="C53" s="24"/>
      <c r="D53" s="25"/>
      <c r="E53" s="25"/>
      <c r="F53" s="25"/>
      <c r="G53" s="97"/>
      <c r="H53" s="66"/>
      <c r="I53" s="57"/>
    </row>
    <row r="54" spans="1:9" ht="19.5" thickBot="1">
      <c r="B54" s="171" t="s">
        <v>72</v>
      </c>
      <c r="C54" s="172"/>
      <c r="D54" s="172"/>
      <c r="E54" s="172"/>
      <c r="F54" s="172"/>
      <c r="G54" s="173"/>
      <c r="H54" s="66"/>
      <c r="I54" s="57"/>
    </row>
    <row r="55" spans="1:9">
      <c r="A55" s="7"/>
      <c r="B55" s="5" t="s">
        <v>61</v>
      </c>
      <c r="C55" s="6" t="s">
        <v>29</v>
      </c>
      <c r="D55" s="45" t="str">
        <f>$D$5</f>
        <v>FY2023 Approved Budget</v>
      </c>
      <c r="E55" s="46" t="str">
        <f>$E$5</f>
        <v>FY2023 Expenses</v>
      </c>
      <c r="F55" s="47" t="str">
        <f>$F$5</f>
        <v>FY2023 Difference</v>
      </c>
      <c r="G55" s="89" t="s">
        <v>30</v>
      </c>
      <c r="H55" s="66"/>
      <c r="I55" s="57"/>
    </row>
    <row r="56" spans="1:9" ht="15.75" thickBot="1">
      <c r="B56" s="10" t="s">
        <v>72</v>
      </c>
      <c r="C56" s="11" t="s">
        <v>73</v>
      </c>
      <c r="D56" s="59">
        <f>ROUNDUP(D52*0.02,-1)</f>
        <v>540</v>
      </c>
      <c r="E56" s="63">
        <v>387.08</v>
      </c>
      <c r="F56" s="62">
        <f>D56-E56</f>
        <v>152.92000000000002</v>
      </c>
      <c r="G56" s="98"/>
      <c r="H56" s="66"/>
      <c r="I56" s="57"/>
    </row>
    <row r="57" spans="1:9">
      <c r="B57" s="14"/>
      <c r="C57" s="15"/>
      <c r="D57" s="28"/>
      <c r="E57" s="28"/>
      <c r="F57" s="28"/>
      <c r="G57" s="99"/>
      <c r="H57" s="66"/>
      <c r="I57" s="57"/>
    </row>
    <row r="58" spans="1:9" ht="15.75" thickBot="1">
      <c r="B58" s="29"/>
      <c r="C58" s="25"/>
      <c r="D58" s="25"/>
      <c r="E58" s="25"/>
      <c r="F58" s="25"/>
      <c r="G58" s="94"/>
      <c r="H58" s="66"/>
      <c r="I58" s="57"/>
    </row>
    <row r="59" spans="1:9" s="31" customFormat="1" ht="27" thickBot="1">
      <c r="A59" s="30"/>
      <c r="B59" s="177" t="str">
        <f>_xlfn.CONCAT('Project Information Summary'!C11, " ", "Budget Summary")</f>
        <v>FY2023 Budget Summary</v>
      </c>
      <c r="C59" s="178"/>
      <c r="D59" s="179"/>
      <c r="E59" s="179"/>
      <c r="F59" s="179"/>
      <c r="G59" s="180"/>
      <c r="H59" s="66"/>
      <c r="I59" s="57"/>
    </row>
    <row r="60" spans="1:9">
      <c r="B60" s="14"/>
      <c r="C60" s="15"/>
      <c r="D60" s="45" t="str">
        <f>$D$5</f>
        <v>FY2023 Approved Budget</v>
      </c>
      <c r="E60" s="46" t="str">
        <f>$E$5</f>
        <v>FY2023 Expenses</v>
      </c>
      <c r="F60" s="47" t="str">
        <f>$F$5</f>
        <v>FY2023 Difference</v>
      </c>
      <c r="G60" s="89" t="s">
        <v>30</v>
      </c>
      <c r="H60" s="66"/>
      <c r="I60" s="57"/>
    </row>
    <row r="61" spans="1:9" ht="27" thickBot="1">
      <c r="B61" s="166" t="s">
        <v>74</v>
      </c>
      <c r="C61" s="167"/>
      <c r="D61" s="60">
        <f>ROUNDUP(D52+D56,-2)</f>
        <v>27200</v>
      </c>
      <c r="E61" s="36">
        <f>E52+E56</f>
        <v>23740.340000000004</v>
      </c>
      <c r="F61" s="61">
        <f>D61-E61</f>
        <v>3459.6599999999962</v>
      </c>
      <c r="G61" s="93"/>
      <c r="H61" s="66" t="str">
        <f t="shared" ref="H61" si="14">IF(F61&lt;0,"OVER APPROVED BUDGET"," ")</f>
        <v xml:space="preserve"> </v>
      </c>
      <c r="I61" s="123" t="str">
        <f>IF(H61="OVER APPROVED BUDGET","You appear to have spent outside of your approved budget. Any deficit in this project account is the responsibility of the department/project to fill, not that of the Campus Sustainability Fund. ", " ")</f>
        <v xml:space="preserve"> </v>
      </c>
    </row>
    <row r="62" spans="1:9">
      <c r="B62" s="14"/>
      <c r="C62" s="15"/>
      <c r="D62" s="28"/>
      <c r="E62" s="28"/>
      <c r="F62" s="28"/>
      <c r="G62" s="99"/>
      <c r="H62" s="66"/>
      <c r="I62" s="57"/>
    </row>
    <row r="63" spans="1:9" ht="15.75" thickBot="1">
      <c r="B63" s="29"/>
      <c r="C63" s="25"/>
      <c r="D63" s="25"/>
      <c r="E63" s="25"/>
      <c r="F63" s="25"/>
      <c r="G63" s="94"/>
      <c r="H63" s="66"/>
      <c r="I63" s="57"/>
    </row>
    <row r="64" spans="1:9" ht="27" thickBot="1">
      <c r="B64" s="177" t="s">
        <v>75</v>
      </c>
      <c r="C64" s="178"/>
      <c r="D64" s="178"/>
      <c r="E64" s="178"/>
      <c r="F64" s="178"/>
      <c r="G64" s="180"/>
      <c r="H64" s="66"/>
      <c r="I64" s="57"/>
    </row>
    <row r="65" spans="2:9">
      <c r="B65" s="14"/>
      <c r="C65" s="15"/>
      <c r="D65" s="168" t="str">
        <f>'Project Information Summary'!C11</f>
        <v>FY2023</v>
      </c>
      <c r="E65" s="169"/>
      <c r="F65" s="170"/>
      <c r="G65" s="100" t="s">
        <v>30</v>
      </c>
      <c r="H65" s="66"/>
      <c r="I65" s="57"/>
    </row>
    <row r="66" spans="2:9" ht="27" thickBot="1">
      <c r="B66" s="166" t="s">
        <v>76</v>
      </c>
      <c r="C66" s="167"/>
      <c r="D66" s="65"/>
      <c r="E66" s="64">
        <f>IF(F61&lt;0,0,F61)</f>
        <v>3459.6599999999962</v>
      </c>
      <c r="F66" s="83"/>
      <c r="G66" s="101"/>
      <c r="H66" s="66" t="str">
        <f>IF(E66&gt;F61,"OVER APPROVED BUDGET"," ")</f>
        <v xml:space="preserve"> </v>
      </c>
      <c r="I66" s="123" t="str">
        <f>IF(H66="OVER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67" spans="2:9" ht="30" customHeight="1">
      <c r="B67" s="32"/>
      <c r="C67" s="33"/>
      <c r="D67" s="34"/>
      <c r="E67" s="34"/>
      <c r="F67" s="34"/>
      <c r="G67" s="102"/>
      <c r="H67" s="67" t="str">
        <f>IF(E66=F61,"UNDER APPROVED BUDGET"," ")</f>
        <v>UNDER APPROVED BUDGET</v>
      </c>
      <c r="I67" s="123" t="str">
        <f>IF(H67="UNDER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68" spans="2:9">
      <c r="B68" s="32"/>
      <c r="C68" s="33"/>
      <c r="D68" s="34"/>
      <c r="E68" s="34"/>
      <c r="F68" s="34"/>
      <c r="G68" s="102"/>
    </row>
    <row r="69" spans="2:9">
      <c r="B69" s="32"/>
      <c r="C69" s="33"/>
      <c r="D69" s="34"/>
      <c r="E69" s="34"/>
      <c r="F69" s="34"/>
      <c r="G69" s="102"/>
    </row>
    <row r="70" spans="2:9">
      <c r="B70" s="32"/>
      <c r="C70" s="33"/>
      <c r="D70" s="34"/>
      <c r="E70" s="34"/>
      <c r="F70" s="34"/>
      <c r="G70" s="102"/>
    </row>
    <row r="71" spans="2:9">
      <c r="B71" s="33"/>
      <c r="C71" s="33"/>
      <c r="D71" s="34"/>
      <c r="E71" s="34"/>
      <c r="F71" s="34"/>
      <c r="G71" s="102"/>
    </row>
  </sheetData>
  <protectedRanges>
    <protectedRange sqref="C44:E47" name="Travel"/>
    <protectedRange sqref="C39:F39 F44:F47" name="Capital Equipment"/>
    <protectedRange sqref="C34:F34 E33" name="Supplies"/>
    <protectedRange sqref="G6:G10 G13:G17 G20:G21 G52 G61 G66 G39:G40 G44:G48 G25:G35" name="Notes"/>
  </protectedRanges>
  <mergeCells count="19">
    <mergeCell ref="B66:C66"/>
    <mergeCell ref="D65:F65"/>
    <mergeCell ref="B48:C48"/>
    <mergeCell ref="B54:G54"/>
    <mergeCell ref="B37:G37"/>
    <mergeCell ref="B40:C40"/>
    <mergeCell ref="B42:G42"/>
    <mergeCell ref="B50:G50"/>
    <mergeCell ref="B52:C52"/>
    <mergeCell ref="B61:C61"/>
    <mergeCell ref="B59:G59"/>
    <mergeCell ref="B64:G64"/>
    <mergeCell ref="B2:G2"/>
    <mergeCell ref="B4:G4"/>
    <mergeCell ref="B35:C35"/>
    <mergeCell ref="B17:C17"/>
    <mergeCell ref="B23:G23"/>
    <mergeCell ref="B21:C21"/>
    <mergeCell ref="B10:C10"/>
  </mergeCells>
  <conditionalFormatting sqref="H6:H9 H11:H16 H49:H66 H18:H20 H41:H47 H22:H39">
    <cfRule type="containsText" dxfId="7" priority="19" operator="containsText" text="OVER BUDGET">
      <formula>NOT(ISERROR(SEARCH("OVER BUDGET",H6)))</formula>
    </cfRule>
  </conditionalFormatting>
  <conditionalFormatting sqref="H67">
    <cfRule type="containsText" dxfId="6" priority="17" operator="containsText" text="OVER BUDGET">
      <formula>NOT(ISERROR(SEARCH("OVER BUDGET",H67)))</formula>
    </cfRule>
  </conditionalFormatting>
  <conditionalFormatting sqref="H48">
    <cfRule type="containsText" dxfId="5" priority="15" operator="containsText" text="OVER BUDGET">
      <formula>NOT(ISERROR(SEARCH("OVER BUDGET",H48)))</formula>
    </cfRule>
  </conditionalFormatting>
  <conditionalFormatting sqref="H40">
    <cfRule type="containsText" dxfId="4" priority="14" operator="containsText" text="OVER BUDGET">
      <formula>NOT(ISERROR(SEARCH("OVER BUDGET",H40)))</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56:F56" xr:uid="{AB473368-4C11-4406-A64F-CA0556BEC8A6}"/>
    <dataValidation allowBlank="1" showInputMessage="1" showErrorMessage="1" promptTitle="Additional Information" prompt="More information on Capital Equipment can be found in the Additional Info &amp; Definitions sheet. " sqref="B37:G37" xr:uid="{F5E56512-9A1E-44E5-917F-4829607AD3DE}"/>
    <dataValidation allowBlank="1" showInputMessage="1" showErrorMessage="1" promptTitle="Additional Information" prompt="More information on Administrative Service Charge can be found in the Additional Info &amp; Definitions sheet. " sqref="B54:G54"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236E9A53-A25E-43F8-9F09-4918D4EA9746}"/>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2023-08-10T22:59:34Z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