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C:\Users\emilyhaworth\Downloads\"/>
    </mc:Choice>
  </mc:AlternateContent>
  <xr:revisionPtr revIDLastSave="3" documentId="13_ncr:1_{13A60BE4-EA76-4D69-9A4D-3A84124ECAFF}" xr6:coauthVersionLast="47" xr6:coauthVersionMax="47" xr10:uidLastSave="{2860AAA7-94C7-4132-8911-B991BFFDE1C0}"/>
  <bookViews>
    <workbookView xWindow="28680" yWindow="-120" windowWidth="29040" windowHeight="15720" firstSheet="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E12" i="1" l="1"/>
  <c r="C17" i="3"/>
  <c r="D17" i="3"/>
  <c r="B2" i="1"/>
  <c r="B2" i="3"/>
  <c r="F35" i="1"/>
  <c r="F30" i="1"/>
  <c r="F6" i="1"/>
  <c r="F13" i="1"/>
  <c r="F25" i="1"/>
  <c r="D39" i="3"/>
  <c r="C39" i="3"/>
  <c r="E29" i="3"/>
  <c r="C28" i="3"/>
  <c r="D28" i="3"/>
  <c r="D36" i="3"/>
  <c r="E39" i="3"/>
  <c r="E28" i="3"/>
  <c r="C36" i="3"/>
  <c r="D34" i="3"/>
  <c r="C34" i="3"/>
  <c r="B28" i="3"/>
  <c r="E30" i="3"/>
  <c r="E31" i="3"/>
  <c r="E32" i="3"/>
  <c r="E33" i="3"/>
  <c r="E34" i="3" l="1"/>
  <c r="D56" i="1" l="1"/>
  <c r="B50" i="1"/>
  <c r="E16" i="3"/>
  <c r="F5" i="1" s="1"/>
  <c r="D16" i="3"/>
  <c r="C16" i="3"/>
  <c r="D5" i="1" s="1"/>
  <c r="D20" i="3"/>
  <c r="C20" i="3"/>
  <c r="D19" i="3"/>
  <c r="C19" i="3"/>
  <c r="D18" i="3"/>
  <c r="C18" i="3"/>
  <c r="E5" i="1" l="1"/>
  <c r="F51" i="1" l="1"/>
  <c r="E51" i="1"/>
  <c r="D51" i="1"/>
  <c r="F46" i="1"/>
  <c r="E46" i="1"/>
  <c r="D46" i="1"/>
  <c r="F42" i="1"/>
  <c r="E42" i="1"/>
  <c r="D42" i="1"/>
  <c r="F34" i="1"/>
  <c r="E34" i="1"/>
  <c r="D34" i="1"/>
  <c r="F29" i="1"/>
  <c r="E29" i="1"/>
  <c r="D29" i="1"/>
  <c r="F24" i="1"/>
  <c r="H24" i="1" s="1"/>
  <c r="I24" i="1" s="1"/>
  <c r="E24" i="1"/>
  <c r="D24" i="1"/>
  <c r="F19" i="1"/>
  <c r="E19" i="1"/>
  <c r="D19" i="1"/>
  <c r="F12" i="1"/>
  <c r="D12" i="1"/>
  <c r="F7" i="1"/>
  <c r="F8" i="1"/>
  <c r="F9" i="1"/>
  <c r="H22" i="1"/>
  <c r="I22" i="1" s="1"/>
  <c r="H23" i="1"/>
  <c r="I23" i="1" s="1"/>
  <c r="F38" i="1"/>
  <c r="F37" i="1"/>
  <c r="F36" i="1"/>
  <c r="F20" i="1" l="1"/>
  <c r="F16" i="1"/>
  <c r="F15" i="1"/>
  <c r="E19" i="3" s="1"/>
  <c r="F14" i="1"/>
  <c r="E18" i="3" s="1"/>
  <c r="E17" i="3"/>
  <c r="E20" i="3" l="1"/>
  <c r="E39" i="1"/>
  <c r="D23" i="3" s="1"/>
  <c r="D39" i="1"/>
  <c r="C23" i="3" s="1"/>
  <c r="F39" i="1" l="1"/>
  <c r="D26" i="1"/>
  <c r="C21" i="3" s="1"/>
  <c r="D31" i="1"/>
  <c r="C22" i="3" s="1"/>
  <c r="E31" i="1"/>
  <c r="D22" i="3" s="1"/>
  <c r="E26" i="1"/>
  <c r="D21" i="3" s="1"/>
  <c r="F26" i="1"/>
  <c r="E21" i="3" s="1"/>
  <c r="H39" i="1" l="1"/>
  <c r="I39" i="1" s="1"/>
  <c r="E23" i="3"/>
  <c r="H26" i="1"/>
  <c r="F31" i="1"/>
  <c r="D21" i="1"/>
  <c r="E21" i="1"/>
  <c r="E22" i="3" l="1"/>
  <c r="H31" i="1"/>
  <c r="I31" i="1" s="1"/>
  <c r="F21" i="1"/>
  <c r="E10" i="1"/>
  <c r="D10" i="1" l="1"/>
  <c r="F10" i="1" s="1"/>
  <c r="H10" i="1" s="1"/>
  <c r="I10" i="1" s="1"/>
  <c r="E17" i="1"/>
  <c r="D17" i="1"/>
  <c r="F17" i="1" l="1"/>
  <c r="H17" i="1" s="1"/>
  <c r="I17" i="1" s="1"/>
  <c r="D43" i="1"/>
  <c r="E43" i="1"/>
  <c r="D47" i="1" l="1"/>
  <c r="C24" i="3" s="1"/>
  <c r="F43" i="1"/>
  <c r="H43" i="1" s="1"/>
  <c r="I43" i="1" s="1"/>
  <c r="D24" i="3"/>
  <c r="D25" i="3" s="1"/>
  <c r="D52" i="1" l="1"/>
  <c r="C25" i="3" s="1"/>
  <c r="E25" i="3" s="1"/>
  <c r="D37" i="3"/>
  <c r="D40" i="3" s="1"/>
  <c r="E52" i="1"/>
  <c r="F47" i="1"/>
  <c r="E24" i="3" s="1"/>
  <c r="C37" i="3" l="1"/>
  <c r="C40" i="3" s="1"/>
  <c r="F52" i="1"/>
  <c r="E57" i="1" s="1"/>
  <c r="H58" i="1" s="1"/>
  <c r="E40" i="3" l="1"/>
  <c r="H52" i="1"/>
  <c r="I58" i="1"/>
  <c r="H57" i="1"/>
  <c r="I57" i="1" s="1"/>
  <c r="F40" i="3" l="1"/>
  <c r="G40" i="3" s="1"/>
  <c r="F25" i="3"/>
  <c r="G25" i="3" s="1"/>
  <c r="I52" i="1"/>
</calcChain>
</file>

<file path=xl/sharedStrings.xml><?xml version="1.0" encoding="utf-8"?>
<sst xmlns="http://schemas.openxmlformats.org/spreadsheetml/2006/main" count="96" uniqueCount="68">
  <si>
    <t>Project Information Summary</t>
  </si>
  <si>
    <t>Project Name</t>
  </si>
  <si>
    <t>Native Plant Gardens</t>
  </si>
  <si>
    <t>Department Name</t>
  </si>
  <si>
    <t>School of Natural Resources and the Environment</t>
  </si>
  <si>
    <t>Department Number</t>
  </si>
  <si>
    <t>KFS Account Number</t>
  </si>
  <si>
    <t>Subaccount Number</t>
  </si>
  <si>
    <t>Project Code</t>
  </si>
  <si>
    <t>CSF AG 24.50</t>
  </si>
  <si>
    <t>Fiscal Year</t>
  </si>
  <si>
    <t>FY2024</t>
  </si>
  <si>
    <t>Project Start Date</t>
  </si>
  <si>
    <t>June, 2022</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</si>
  <si>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</si>
  <si>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</si>
  <si>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</si>
  <si>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</si>
  <si>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</si>
  <si>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</si>
  <si>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</si>
  <si>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</si>
  <si>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</si>
  <si>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</si>
  <si>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Total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</si>
  <si>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</si>
  <si>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</si>
  <si>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</si>
  <si>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</si>
  <si>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</si>
  <si>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</si>
  <si>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</si>
  <si>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</si>
  <si>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</si>
  <si>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</si>
  <si>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</si>
  <si>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</si>
  <si>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</si>
  <si>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</si>
  <si>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</si>
  <si>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</si>
  <si>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</si>
  <si>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</si>
  <si>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</si>
  <si>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</si>
  <si>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</si>
  <si>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</si>
  <si>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</si>
  <si>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</si>
  <si>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</si>
  <si>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</si>
  <si>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 xml:space="preserve">This has been okayed by the CSF Coordinator. it was documented that these expenses were not permitted, but are allowable as it benefited the mission of the project. This will not be permitted or allowable in the future based on the CSF/ awardee letter of agreement.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</si>
  <si>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</si>
  <si>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</si>
  <si>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</si>
  <si>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</si>
  <si>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</si>
  <si>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</si>
  <si>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</si>
  <si>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</si>
  <si>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</si>
  <si>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</si>
  <si>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</si>
  <si>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Administrative Service Charge</t>
  </si>
  <si>
    <t>Administrative Service Charge (2%)</t>
  </si>
  <si>
    <t>Total Project Expenses</t>
  </si>
  <si>
    <t>Funding to be Returned to the Campus Sustainability Fund</t>
  </si>
  <si>
    <t>Total Amount to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</si>
</sst>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76">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9"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3" fillId="0" borderId="48"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1"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9"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0" borderId="52" xfId="0" applyNumberFormat="1" applyFont="1" applyBorder="1" applyAlignment="1">
      <alignment horizontal="center" vertical="center"/>
    </xf>
    <xf numFmtId="44" fontId="3" fillId="7" borderId="52"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5"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44" fontId="3" fillId="0" borderId="24" xfId="0" applyNumberFormat="1" applyFont="1" applyBorder="1" applyAlignment="1">
      <alignment horizontal="left" vertical="center"/>
    </xf>
    <xf numFmtId="0" fontId="3" fillId="0" borderId="29" xfId="0" applyFont="1" applyBorder="1" applyAlignment="1">
      <alignment horizontal="center" vertical="center"/>
    </xf>
    <xf numFmtId="0" fontId="3" fillId="8" borderId="58"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39" fontId="3" fillId="7" borderId="16" xfId="0" applyNumberFormat="1"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44" fontId="3" fillId="0" borderId="25" xfId="0" applyNumberFormat="1" applyFont="1" applyBorder="1" applyAlignment="1">
      <alignment horizontal="left" vertical="center"/>
    </xf>
    <xf numFmtId="44" fontId="3" fillId="0" borderId="28"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4"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60" xfId="0" applyFont="1" applyBorder="1" applyAlignment="1">
      <alignment horizontal="left" vertical="center"/>
    </xf>
    <xf numFmtId="0" fontId="7" fillId="3" borderId="56" xfId="0" applyFont="1" applyFill="1" applyBorder="1" applyAlignment="1">
      <alignment horizontal="right" vertical="center"/>
    </xf>
    <xf numFmtId="44" fontId="3" fillId="6" borderId="50"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8"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2" fontId="3" fillId="0" borderId="29" xfId="0" applyNumberFormat="1" applyFont="1" applyBorder="1" applyAlignment="1">
      <alignment horizontal="center" vertical="center"/>
    </xf>
    <xf numFmtId="0" fontId="7" fillId="4" borderId="19" xfId="0" applyFont="1" applyFill="1" applyBorder="1" applyAlignment="1">
      <alignment horizontal="center"/>
    </xf>
    <xf numFmtId="0" fontId="7" fillId="4" borderId="53" xfId="0" applyFont="1" applyFill="1" applyBorder="1" applyAlignment="1">
      <alignment horizontal="center"/>
    </xf>
    <xf numFmtId="0" fontId="7" fillId="4" borderId="42" xfId="0" applyFont="1" applyFill="1" applyBorder="1" applyAlignment="1">
      <alignment horizont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5" borderId="59" xfId="0" applyFont="1" applyFill="1" applyBorder="1" applyAlignment="1">
      <alignment horizontal="center" wrapText="1"/>
    </xf>
    <xf numFmtId="0" fontId="7" fillId="5"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40" xfId="0" applyFont="1" applyFill="1" applyBorder="1" applyAlignment="1">
      <alignment horizontal="right"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2" xfId="0" applyFont="1" applyFill="1" applyBorder="1" applyAlignment="1">
      <alignment horizontal="right" vertical="center"/>
    </xf>
    <xf numFmtId="0" fontId="7" fillId="3" borderId="57" xfId="0" applyFont="1" applyFill="1" applyBorder="1" applyAlignment="1">
      <alignment horizontal="right"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5" borderId="38"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9"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AB0520"/>
      <color rgb="FF0C234B"/>
      <color rgb="FFFCA2B1"/>
      <color rgb="FF81D3EB"/>
      <color rgb="FF8B0015"/>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0"/>
  <sheetViews>
    <sheetView tabSelected="1" zoomScale="80" zoomScaleNormal="80" workbookViewId="0">
      <selection activeCell="F26" sqref="F26"/>
    </sheetView>
  </sheetViews>
  <sheetFormatPr defaultRowHeight="15"/>
  <cols>
    <col min="1" max="1" width="3.125" style="1" customWidth="1"/>
    <col min="2" max="2" width="47.875" style="1" bestFit="1" customWidth="1"/>
    <col min="3" max="3" width="43.625" style="1" customWidth="1"/>
    <col min="4" max="4" width="40.625" style="1" customWidth="1"/>
    <col min="5" max="5" width="50.25" style="1" bestFit="1" customWidth="1"/>
    <col min="6" max="6" width="21" style="56" bestFit="1" customWidth="1"/>
    <col min="7" max="7" width="46" style="1" customWidth="1"/>
    <col min="8" max="16384" width="9" style="1"/>
  </cols>
  <sheetData>
    <row r="1" spans="2:7" ht="15.75" thickBot="1"/>
    <row r="2" spans="2:7" ht="26.25">
      <c r="B2" s="140" t="str">
        <f>_xlfn.CONCAT("Campus Sustainability Fund - Approved Project Information Summary for", " ",C5)</f>
        <v>Campus Sustainability Fund - Approved Project Information Summary for Native Plant Gardens</v>
      </c>
      <c r="C2" s="141"/>
      <c r="D2" s="141"/>
      <c r="E2" s="141"/>
      <c r="F2" s="141"/>
      <c r="G2" s="142"/>
    </row>
    <row r="3" spans="2:7" ht="15.75" thickBot="1"/>
    <row r="4" spans="2:7" ht="18.75">
      <c r="B4" s="145" t="s">
        <v>0</v>
      </c>
      <c r="C4" s="146"/>
    </row>
    <row r="5" spans="2:7">
      <c r="B5" s="39" t="s">
        <v>1</v>
      </c>
      <c r="C5" s="86" t="s">
        <v>2</v>
      </c>
    </row>
    <row r="6" spans="2:7">
      <c r="B6" s="39" t="s">
        <v>3</v>
      </c>
      <c r="C6" s="86" t="s">
        <v>4</v>
      </c>
    </row>
    <row r="7" spans="2:7">
      <c r="B7" s="39" t="s">
        <v>5</v>
      </c>
      <c r="C7" s="86">
        <v>2412</v>
      </c>
    </row>
    <row r="8" spans="2:7">
      <c r="B8" s="39" t="s">
        <v>6</v>
      </c>
      <c r="C8" s="86">
        <v>2657611</v>
      </c>
    </row>
    <row r="9" spans="2:7">
      <c r="B9" s="39" t="s">
        <v>7</v>
      </c>
      <c r="C9" s="136">
        <v>24.5</v>
      </c>
    </row>
    <row r="10" spans="2:7">
      <c r="B10" s="39" t="s">
        <v>8</v>
      </c>
      <c r="C10" s="86" t="s">
        <v>9</v>
      </c>
    </row>
    <row r="11" spans="2:7">
      <c r="B11" s="48" t="s">
        <v>10</v>
      </c>
      <c r="C11" s="87" t="s">
        <v>11</v>
      </c>
    </row>
    <row r="12" spans="2:7">
      <c r="B12" s="48" t="s">
        <v>12</v>
      </c>
      <c r="C12" s="124" t="s">
        <v>13</v>
      </c>
    </row>
    <row r="13" spans="2:7" ht="15.75" thickBot="1">
      <c r="B13" s="40" t="s">
        <v>14</v>
      </c>
      <c r="C13" s="125">
        <v>45473</v>
      </c>
    </row>
    <row r="14" spans="2:7" ht="15.75" thickBot="1"/>
    <row r="15" spans="2:7" ht="19.5" thickBot="1">
      <c r="B15" s="137" t="s">
        <v>15</v>
      </c>
      <c r="C15" s="138"/>
      <c r="D15" s="138"/>
      <c r="E15" s="139"/>
      <c r="F15" s="108"/>
    </row>
    <row r="16" spans="2:7">
      <c r="B16" s="41"/>
      <c r="C16" s="78" t="str">
        <f>_xlfn.CONCAT(C11, " ", "Approved Budget")</f>
        <v>FY2024 Approved Budget</v>
      </c>
      <c r="D16" s="46" t="str">
        <f>_xlfn.CONCAT(C11, " ", "Expenses")</f>
        <v>FY2024 Expenses</v>
      </c>
      <c r="E16" s="110" t="str">
        <f>_xlfn.CONCAT(C11, " ", "Difference")</f>
        <v>FY2024 Difference</v>
      </c>
      <c r="F16" s="108"/>
    </row>
    <row r="17" spans="1:7">
      <c r="B17" s="42" t="s">
        <v>16</v>
      </c>
      <c r="C17" s="84">
        <f>'Operating Budget'!D6+'Operating Budget'!D13</f>
        <v>7619.04</v>
      </c>
      <c r="D17" s="109">
        <f>'Operating Budget'!E6+'Operating Budget'!E13</f>
        <v>2029.54</v>
      </c>
      <c r="E17" s="111">
        <f>'Operating Budget'!F6+'Operating Budget'!F13</f>
        <v>5589.5</v>
      </c>
      <c r="F17" s="108"/>
    </row>
    <row r="18" spans="1:7">
      <c r="B18" s="42" t="s">
        <v>17</v>
      </c>
      <c r="C18" s="84">
        <f>'Operating Budget'!D7+'Operating Budget'!D14</f>
        <v>0</v>
      </c>
      <c r="D18" s="109">
        <f>'Operating Budget'!E7+'Operating Budget'!E14</f>
        <v>0</v>
      </c>
      <c r="E18" s="111">
        <f>'Operating Budget'!F7+'Operating Budget'!F14</f>
        <v>0</v>
      </c>
      <c r="F18" s="108"/>
    </row>
    <row r="19" spans="1:7">
      <c r="B19" s="42" t="s">
        <v>18</v>
      </c>
      <c r="C19" s="84">
        <f>'Operating Budget'!D8+'Operating Budget'!D15</f>
        <v>0</v>
      </c>
      <c r="D19" s="109">
        <f>'Operating Budget'!E8+'Operating Budget'!E15</f>
        <v>0</v>
      </c>
      <c r="E19" s="111">
        <f>'Operating Budget'!F8+'Operating Budget'!F15</f>
        <v>0</v>
      </c>
      <c r="F19" s="108"/>
    </row>
    <row r="20" spans="1:7">
      <c r="B20" s="42" t="s">
        <v>19</v>
      </c>
      <c r="C20" s="84">
        <f>'Operating Budget'!D9+'Operating Budget'!D16+'Operating Budget'!D20</f>
        <v>22301.65</v>
      </c>
      <c r="D20" s="109">
        <f>'Operating Budget'!E9+'Operating Budget'!E16+'Operating Budget'!E20</f>
        <v>18669.510000000002</v>
      </c>
      <c r="E20" s="111">
        <f>'Operating Budget'!F9+'Operating Budget'!F16+'Operating Budget'!F20</f>
        <v>3632.1400000000003</v>
      </c>
      <c r="F20" s="108"/>
    </row>
    <row r="21" spans="1:7">
      <c r="B21" s="42" t="s">
        <v>20</v>
      </c>
      <c r="C21" s="84">
        <f>'Operating Budget'!D26</f>
        <v>15222</v>
      </c>
      <c r="D21" s="109">
        <f>'Operating Budget'!E26</f>
        <v>21358.53</v>
      </c>
      <c r="E21" s="111">
        <f>'Operating Budget'!F26</f>
        <v>-6136.5299999999988</v>
      </c>
      <c r="F21" s="108"/>
    </row>
    <row r="22" spans="1:7">
      <c r="B22" s="42" t="s">
        <v>21</v>
      </c>
      <c r="C22" s="84">
        <f>'Operating Budget'!D31</f>
        <v>0</v>
      </c>
      <c r="D22" s="109">
        <f>'Operating Budget'!E31</f>
        <v>0</v>
      </c>
      <c r="E22" s="111">
        <f>'Operating Budget'!F31</f>
        <v>0</v>
      </c>
      <c r="F22" s="108"/>
    </row>
    <row r="23" spans="1:7">
      <c r="B23" s="43" t="s">
        <v>22</v>
      </c>
      <c r="C23" s="84">
        <f>'Operating Budget'!D39</f>
        <v>0</v>
      </c>
      <c r="D23" s="109">
        <f>'Operating Budget'!E39</f>
        <v>0</v>
      </c>
      <c r="E23" s="111">
        <f>'Operating Budget'!F39</f>
        <v>0</v>
      </c>
      <c r="F23" s="108"/>
    </row>
    <row r="24" spans="1:7">
      <c r="B24" s="44" t="s">
        <v>23</v>
      </c>
      <c r="C24" s="85">
        <f>'Operating Budget'!D47</f>
        <v>910</v>
      </c>
      <c r="D24" s="112">
        <f>'Operating Budget'!E47</f>
        <v>0</v>
      </c>
      <c r="E24" s="113">
        <f>'Operating Budget'!F47</f>
        <v>910</v>
      </c>
      <c r="F24" s="108"/>
    </row>
    <row r="25" spans="1:7" ht="18.75">
      <c r="A25" s="7"/>
      <c r="B25" s="114" t="s">
        <v>24</v>
      </c>
      <c r="C25" s="133">
        <f>'Operating Budget'!D52</f>
        <v>46100</v>
      </c>
      <c r="D25" s="133">
        <f>SUM(D17:D24)</f>
        <v>42057.58</v>
      </c>
      <c r="E25" s="134">
        <f>C25-D25</f>
        <v>4042.4199999999983</v>
      </c>
      <c r="F25" s="66" t="str">
        <f>'Operating Budget'!H52</f>
        <v xml:space="preserve"> </v>
      </c>
      <c r="G25" s="123" t="str">
        <f>IF(F25="OVER APPROVED BUDGET","You appear to have spent outside of your approved budget. Any deficit in this project account is the responsibility of the department/project to fill, not that of the Campus Sustainability Fund. ", " ")</f>
        <v xml:space="preserve"> </v>
      </c>
    </row>
    <row r="26" spans="1:7" ht="15.75" thickBot="1">
      <c r="B26" s="7"/>
      <c r="C26" s="7"/>
      <c r="D26" s="7"/>
      <c r="E26" s="7"/>
    </row>
    <row r="27" spans="1:7" ht="19.5" thickBot="1">
      <c r="A27" s="7"/>
      <c r="B27" s="143" t="s">
        <v>25</v>
      </c>
      <c r="C27" s="138"/>
      <c r="D27" s="138"/>
      <c r="E27" s="144"/>
      <c r="F27" s="108"/>
    </row>
    <row r="28" spans="1:7">
      <c r="A28" s="7"/>
      <c r="B28" s="118" t="str">
        <f>_xlfn.CONCAT(C11, " ", "Additional Funding Source(s) &amp; Description(s)")</f>
        <v>FY2024 Additional Funding Source(s) &amp; Description(s)</v>
      </c>
      <c r="C28" s="78" t="str">
        <f>_xlfn.CONCAT(C11, " ", "Additional Funding Source(s) Budget")</f>
        <v>FY2024 Additional Funding Source(s) Budget</v>
      </c>
      <c r="D28" s="116" t="str">
        <f>_xlfn.CONCAT(C11, " ", "Additional Funding Expenses")</f>
        <v>FY2024 Additional Funding Expenses</v>
      </c>
      <c r="E28" s="47" t="str">
        <f>_xlfn.CONCAT(C11, " ", "Difference")</f>
        <v>FY2024 Difference</v>
      </c>
      <c r="F28" s="115"/>
    </row>
    <row r="29" spans="1:7">
      <c r="A29" s="7"/>
      <c r="B29" s="119"/>
      <c r="C29" s="135"/>
      <c r="D29" s="121"/>
      <c r="E29" s="53">
        <f>C29-D29</f>
        <v>0</v>
      </c>
      <c r="F29" s="108"/>
    </row>
    <row r="30" spans="1:7">
      <c r="A30" s="7"/>
      <c r="B30" s="119"/>
      <c r="C30" s="122"/>
      <c r="D30" s="121"/>
      <c r="E30" s="53">
        <f t="shared" ref="E30:E33" si="0">B30-D30</f>
        <v>0</v>
      </c>
      <c r="F30" s="108"/>
    </row>
    <row r="31" spans="1:7">
      <c r="A31" s="7"/>
      <c r="B31" s="119"/>
      <c r="C31" s="122"/>
      <c r="D31" s="121"/>
      <c r="E31" s="53">
        <f t="shared" si="0"/>
        <v>0</v>
      </c>
      <c r="F31" s="108"/>
    </row>
    <row r="32" spans="1:7">
      <c r="A32" s="7"/>
      <c r="B32" s="119"/>
      <c r="C32" s="122"/>
      <c r="D32" s="121"/>
      <c r="E32" s="53">
        <f t="shared" si="0"/>
        <v>0</v>
      </c>
      <c r="F32" s="108"/>
    </row>
    <row r="33" spans="1:7">
      <c r="A33" s="7"/>
      <c r="B33" s="119"/>
      <c r="C33" s="122"/>
      <c r="D33" s="121"/>
      <c r="E33" s="53">
        <f t="shared" si="0"/>
        <v>0</v>
      </c>
      <c r="F33" s="108"/>
    </row>
    <row r="34" spans="1:7" ht="19.5" thickBot="1">
      <c r="A34" s="7"/>
      <c r="B34" s="120" t="s">
        <v>26</v>
      </c>
      <c r="C34" s="117">
        <f>SUM(C29:C33)</f>
        <v>0</v>
      </c>
      <c r="D34" s="104">
        <f t="shared" ref="D34:E34" si="1">SUM(D29:D33)</f>
        <v>0</v>
      </c>
      <c r="E34" s="105">
        <f t="shared" si="1"/>
        <v>0</v>
      </c>
      <c r="F34" s="108"/>
    </row>
    <row r="35" spans="1:7" ht="19.5" thickBot="1">
      <c r="B35" s="103"/>
      <c r="C35" s="106"/>
      <c r="D35" s="106"/>
      <c r="E35" s="106"/>
    </row>
    <row r="36" spans="1:7">
      <c r="B36" s="147" t="s">
        <v>27</v>
      </c>
      <c r="C36" s="126" t="str">
        <f>_xlfn.CONCAT(C11, " ", "Approved Project Budget")</f>
        <v>FY2024 Approved Project Budget</v>
      </c>
      <c r="D36" s="126" t="str">
        <f>_xlfn.CONCAT(C11," ","Expenses")</f>
        <v>FY2024 Expenses</v>
      </c>
      <c r="E36" s="129"/>
    </row>
    <row r="37" spans="1:7" s="7" customFormat="1" ht="15.75" thickBot="1">
      <c r="B37" s="148"/>
      <c r="C37" s="63">
        <f>SUM(C34,C25)</f>
        <v>46100</v>
      </c>
      <c r="D37" s="63">
        <f>D25+D34</f>
        <v>42057.58</v>
      </c>
      <c r="E37" s="130"/>
      <c r="F37" s="108"/>
    </row>
    <row r="38" spans="1:7" s="7" customFormat="1" ht="19.5" thickBot="1">
      <c r="B38" s="103"/>
      <c r="C38" s="107"/>
      <c r="D38" s="107"/>
      <c r="E38" s="107"/>
      <c r="F38" s="108"/>
    </row>
    <row r="39" spans="1:7" s="7" customFormat="1" ht="30">
      <c r="B39" s="147" t="s">
        <v>28</v>
      </c>
      <c r="C39" s="131" t="str">
        <f>_xlfn.CONCAT(C14, " ", "Approved Anticipated Percentage of Funds Provided by the CSF")</f>
        <v xml:space="preserve"> Approved Anticipated Percentage of Funds Provided by the CSF</v>
      </c>
      <c r="D39" s="132" t="str">
        <f>_xlfn.CONCAT(C14, " ", "Actual Percentage of Funds Provided by the CSF")</f>
        <v xml:space="preserve"> Actual Percentage of Funds Provided by the CSF</v>
      </c>
      <c r="E39" s="47" t="str">
        <f>_xlfn.CONCAT(C14, " ", "Difference")</f>
        <v xml:space="preserve"> Difference</v>
      </c>
      <c r="F39" s="108"/>
    </row>
    <row r="40" spans="1:7" s="7" customFormat="1" ht="15.75" thickBot="1">
      <c r="B40" s="148"/>
      <c r="C40" s="127">
        <f>C25/C37</f>
        <v>1</v>
      </c>
      <c r="D40" s="127">
        <f>D25/D37</f>
        <v>1</v>
      </c>
      <c r="E40" s="128">
        <f>C40-D40</f>
        <v>0</v>
      </c>
      <c r="F40" s="66" t="str">
        <f>IF(E40&lt;-10%,"ADDITIONAL FUNDING SOURCES UNDERUTILIZED"," ")</f>
        <v xml:space="preserve"> </v>
      </c>
      <c r="G40" s="123" t="str">
        <f>IF(F40="Additional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30:E33 B29 D29:E29" name="Additional Funding Sources Summary"/>
  </protectedRanges>
  <mergeCells count="6">
    <mergeCell ref="B15:E15"/>
    <mergeCell ref="B2:G2"/>
    <mergeCell ref="B27:E27"/>
    <mergeCell ref="B4:C4"/>
    <mergeCell ref="B39:B40"/>
    <mergeCell ref="B36:B37"/>
  </mergeCells>
  <conditionalFormatting sqref="B1:G36 C37:G37 B38:G39 C40:G40 B41:G1048576">
    <cfRule type="cellIs" dxfId="4" priority="1" operator="lessThan">
      <formula>0</formula>
    </cfRule>
  </conditionalFormatting>
  <conditionalFormatting sqref="F25">
    <cfRule type="containsText" dxfId="3" priority="3" operator="containsText" text="OVER BUDGET">
      <formula>NOT(ISERROR(SEARCH("OVER BUDGET",F25)))</formula>
    </cfRule>
  </conditionalFormatting>
  <conditionalFormatting sqref="F40">
    <cfRule type="containsText" dxfId="2" priority="2" operator="containsText" text="OVER BUDGET">
      <formula>NOT(ISERROR(SEARCH("OVER BUDGET",F40)))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opLeftCell="A37" zoomScale="110" zoomScaleNormal="110" workbookViewId="0">
      <selection activeCell="I17" sqref="I17"/>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6" customWidth="1"/>
    <col min="8" max="8" width="22.375" style="56" customWidth="1"/>
    <col min="9" max="9" width="63.875" style="1" customWidth="1"/>
    <col min="10" max="25" width="7.625" style="1" customWidth="1"/>
    <col min="26" max="16384" width="12.625" style="1"/>
  </cols>
  <sheetData>
    <row r="1" spans="1:9" ht="15.75" thickBot="1"/>
    <row r="2" spans="1:9" ht="27" thickBot="1">
      <c r="B2" s="149" t="str">
        <f>_xlfn.CONCAT("Campus Sustainability Fund - Approved Operating Budget for", " ",'Project Information Summary'!C5)</f>
        <v>Campus Sustainability Fund - Approved Operating Budget for Native Plant Gardens</v>
      </c>
      <c r="C2" s="150"/>
      <c r="D2" s="150"/>
      <c r="E2" s="150"/>
      <c r="F2" s="150"/>
      <c r="G2" s="151"/>
    </row>
    <row r="3" spans="1:9" ht="15.75" thickBot="1">
      <c r="B3" s="3"/>
      <c r="C3" s="4"/>
      <c r="D3" s="4"/>
      <c r="E3" s="4"/>
      <c r="F3" s="4"/>
      <c r="G3" s="88"/>
    </row>
    <row r="4" spans="1:9" ht="19.5" thickBot="1">
      <c r="B4" s="152" t="s">
        <v>29</v>
      </c>
      <c r="C4" s="153"/>
      <c r="D4" s="153"/>
      <c r="E4" s="153"/>
      <c r="F4" s="153"/>
      <c r="G4" s="154"/>
    </row>
    <row r="5" spans="1:9">
      <c r="A5" s="7"/>
      <c r="B5" s="5" t="s">
        <v>30</v>
      </c>
      <c r="C5" s="6" t="s">
        <v>31</v>
      </c>
      <c r="D5" s="45" t="str">
        <f>'Project Information Summary'!C16</f>
        <v>FY2024 Approved Budget</v>
      </c>
      <c r="E5" s="46" t="str">
        <f>'Project Information Summary'!D16</f>
        <v>FY2024 Expenses</v>
      </c>
      <c r="F5" s="47" t="str">
        <f>'Project Information Summary'!E16</f>
        <v>FY2024 Difference</v>
      </c>
      <c r="G5" s="89" t="s">
        <v>32</v>
      </c>
    </row>
    <row r="6" spans="1:9" ht="15" customHeight="1">
      <c r="B6" s="8" t="s">
        <v>33</v>
      </c>
      <c r="C6" s="79" t="s">
        <v>34</v>
      </c>
      <c r="D6" s="51">
        <v>5772</v>
      </c>
      <c r="E6" s="68">
        <v>1537.53</v>
      </c>
      <c r="F6" s="37">
        <f t="shared" ref="F6:F10" si="0">D6-E6</f>
        <v>4234.47</v>
      </c>
      <c r="G6" s="90"/>
      <c r="H6" s="66"/>
      <c r="I6" s="57"/>
    </row>
    <row r="7" spans="1:9">
      <c r="B7" s="8" t="s">
        <v>33</v>
      </c>
      <c r="C7" s="79" t="s">
        <v>35</v>
      </c>
      <c r="D7" s="51"/>
      <c r="E7" s="68"/>
      <c r="F7" s="37">
        <f t="shared" si="0"/>
        <v>0</v>
      </c>
      <c r="G7" s="90"/>
      <c r="H7" s="66"/>
      <c r="I7" s="57"/>
    </row>
    <row r="8" spans="1:9">
      <c r="B8" s="8" t="s">
        <v>33</v>
      </c>
      <c r="C8" s="79" t="s">
        <v>36</v>
      </c>
      <c r="D8" s="51"/>
      <c r="E8" s="68"/>
      <c r="F8" s="37">
        <f t="shared" si="0"/>
        <v>0</v>
      </c>
      <c r="G8" s="90"/>
      <c r="H8" s="66"/>
      <c r="I8" s="57"/>
    </row>
    <row r="9" spans="1:9" ht="15.75" thickBot="1">
      <c r="B9" s="10" t="s">
        <v>33</v>
      </c>
      <c r="C9" s="80" t="s">
        <v>37</v>
      </c>
      <c r="D9" s="52">
        <v>14137.5</v>
      </c>
      <c r="E9" s="69">
        <v>10875</v>
      </c>
      <c r="F9" s="38">
        <f t="shared" si="0"/>
        <v>3262.5</v>
      </c>
      <c r="G9" s="90"/>
      <c r="H9" s="66"/>
      <c r="I9" s="57"/>
    </row>
    <row r="10" spans="1:9" ht="19.5" thickBot="1">
      <c r="B10" s="157" t="s">
        <v>38</v>
      </c>
      <c r="C10" s="160"/>
      <c r="D10" s="12">
        <f>SUM(D6:D9)</f>
        <v>19909.5</v>
      </c>
      <c r="E10" s="13">
        <f>SUM(E6:E9)</f>
        <v>12412.53</v>
      </c>
      <c r="F10" s="81">
        <f t="shared" si="0"/>
        <v>7496.9699999999993</v>
      </c>
      <c r="G10" s="91"/>
      <c r="H10" s="66" t="str">
        <f t="shared" ref="H10" si="1">IF(F10&lt;0,"OVER APPROVED BUDGET"," ")</f>
        <v xml:space="preserve"> </v>
      </c>
      <c r="I10" s="123"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92"/>
      <c r="H11" s="66"/>
      <c r="I11" s="57"/>
    </row>
    <row r="12" spans="1:9">
      <c r="A12" s="7"/>
      <c r="B12" s="5" t="s">
        <v>30</v>
      </c>
      <c r="C12" s="6" t="s">
        <v>31</v>
      </c>
      <c r="D12" s="16" t="str">
        <f>$D$5</f>
        <v>FY2024 Approved Budget</v>
      </c>
      <c r="E12" s="2" t="str">
        <f>$E$5</f>
        <v>FY2024 Expenses</v>
      </c>
      <c r="F12" s="17" t="str">
        <f>$F$5</f>
        <v>FY2024 Difference</v>
      </c>
      <c r="G12" s="89" t="s">
        <v>32</v>
      </c>
      <c r="H12" s="66"/>
      <c r="I12" s="57"/>
    </row>
    <row r="13" spans="1:9">
      <c r="B13" s="8" t="s">
        <v>39</v>
      </c>
      <c r="C13" s="9" t="s">
        <v>40</v>
      </c>
      <c r="D13" s="70">
        <v>1847.04</v>
      </c>
      <c r="E13" s="71">
        <v>492.01</v>
      </c>
      <c r="F13" s="37">
        <f t="shared" ref="F13:F17" si="2">D13-E13</f>
        <v>1355.03</v>
      </c>
      <c r="G13" s="90"/>
      <c r="H13" s="66"/>
      <c r="I13" s="57"/>
    </row>
    <row r="14" spans="1:9">
      <c r="B14" s="8" t="s">
        <v>39</v>
      </c>
      <c r="C14" s="9" t="s">
        <v>41</v>
      </c>
      <c r="D14" s="70"/>
      <c r="E14" s="71"/>
      <c r="F14" s="37">
        <f t="shared" si="2"/>
        <v>0</v>
      </c>
      <c r="G14" s="90"/>
      <c r="H14" s="66"/>
      <c r="I14" s="57"/>
    </row>
    <row r="15" spans="1:9">
      <c r="B15" s="8" t="s">
        <v>39</v>
      </c>
      <c r="C15" s="9" t="s">
        <v>42</v>
      </c>
      <c r="D15" s="70"/>
      <c r="E15" s="71"/>
      <c r="F15" s="37">
        <f t="shared" si="2"/>
        <v>0</v>
      </c>
      <c r="G15" s="90"/>
      <c r="H15" s="66"/>
      <c r="I15" s="57"/>
    </row>
    <row r="16" spans="1:9" ht="15.75" thickBot="1">
      <c r="B16" s="10" t="s">
        <v>39</v>
      </c>
      <c r="C16" s="11" t="s">
        <v>43</v>
      </c>
      <c r="D16" s="72">
        <v>1866.15</v>
      </c>
      <c r="E16" s="73">
        <v>1435.51</v>
      </c>
      <c r="F16" s="38">
        <f t="shared" si="2"/>
        <v>430.6400000000001</v>
      </c>
      <c r="G16" s="90"/>
      <c r="H16" s="66"/>
      <c r="I16" s="57"/>
    </row>
    <row r="17" spans="1:9" ht="20.25" thickTop="1" thickBot="1">
      <c r="B17" s="157" t="s">
        <v>44</v>
      </c>
      <c r="C17" s="158"/>
      <c r="D17" s="18">
        <f>SUM(D13:D16)</f>
        <v>3713.19</v>
      </c>
      <c r="E17" s="19">
        <f t="shared" ref="E17" si="3">SUM(E13:E16)</f>
        <v>1927.52</v>
      </c>
      <c r="F17" s="50">
        <f t="shared" si="2"/>
        <v>1785.67</v>
      </c>
      <c r="G17" s="93"/>
      <c r="H17" s="66" t="str">
        <f t="shared" ref="H17" si="4">IF(F17&lt;0,"OVER APPROVED BUDGET"," ")</f>
        <v xml:space="preserve"> </v>
      </c>
      <c r="I17" s="123"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92"/>
      <c r="H18" s="66"/>
      <c r="I18" s="57"/>
    </row>
    <row r="19" spans="1:9">
      <c r="A19" s="7"/>
      <c r="B19" s="5" t="s">
        <v>30</v>
      </c>
      <c r="C19" s="6" t="s">
        <v>31</v>
      </c>
      <c r="D19" s="45" t="str">
        <f>$D$5</f>
        <v>FY2024 Approved Budget</v>
      </c>
      <c r="E19" s="46" t="str">
        <f>$E$5</f>
        <v>FY2024 Expenses</v>
      </c>
      <c r="F19" s="47" t="str">
        <f>$F$5</f>
        <v>FY2024 Difference</v>
      </c>
      <c r="G19" s="89" t="s">
        <v>32</v>
      </c>
      <c r="H19" s="66"/>
      <c r="I19" s="57"/>
    </row>
    <row r="20" spans="1:9" ht="15.75" thickBot="1">
      <c r="B20" s="21" t="s">
        <v>45</v>
      </c>
      <c r="C20" s="22" t="s">
        <v>45</v>
      </c>
      <c r="D20" s="72">
        <v>6298</v>
      </c>
      <c r="E20" s="73">
        <v>6359</v>
      </c>
      <c r="F20" s="38">
        <f t="shared" ref="F20:F21" si="5">D20-E20</f>
        <v>-61</v>
      </c>
      <c r="G20" s="90"/>
      <c r="H20" s="66"/>
      <c r="I20" s="57"/>
    </row>
    <row r="21" spans="1:9" ht="19.5" thickBot="1">
      <c r="B21" s="155" t="s">
        <v>46</v>
      </c>
      <c r="C21" s="159"/>
      <c r="D21" s="12">
        <f>D20</f>
        <v>6298</v>
      </c>
      <c r="E21" s="13">
        <f t="shared" ref="E21" si="6">E20</f>
        <v>6359</v>
      </c>
      <c r="F21" s="81">
        <f t="shared" si="5"/>
        <v>-61</v>
      </c>
      <c r="G21" s="93"/>
      <c r="H21" s="66"/>
      <c r="I21" s="57"/>
    </row>
    <row r="22" spans="1:9" ht="15.75" thickBot="1">
      <c r="B22" s="23"/>
      <c r="C22" s="24"/>
      <c r="D22" s="25"/>
      <c r="E22" s="25"/>
      <c r="F22" s="25"/>
      <c r="G22" s="94"/>
      <c r="H22" s="66" t="str">
        <f t="shared" ref="H22:H43" si="7">IF(F22&lt;0,"OVER APPROVED BUDGET"," ")</f>
        <v xml:space="preserve"> </v>
      </c>
      <c r="I22" s="57" t="str">
        <f t="shared" ref="I22:I24" si="8">IF(H22="OVER APPROVED BUDGET","You have spent outside of your approved budget. You will either need to submit a Project Alteration Request or use departmental funds to cover the difference.", " ")</f>
        <v xml:space="preserve"> </v>
      </c>
    </row>
    <row r="23" spans="1:9" ht="19.5" thickBot="1">
      <c r="B23" s="152" t="s">
        <v>47</v>
      </c>
      <c r="C23" s="153"/>
      <c r="D23" s="153"/>
      <c r="E23" s="153"/>
      <c r="F23" s="153"/>
      <c r="G23" s="154"/>
      <c r="H23" s="66" t="str">
        <f t="shared" si="7"/>
        <v xml:space="preserve"> </v>
      </c>
      <c r="I23" s="57" t="str">
        <f t="shared" si="8"/>
        <v xml:space="preserve"> </v>
      </c>
    </row>
    <row r="24" spans="1:9">
      <c r="A24" s="7"/>
      <c r="B24" s="5" t="s">
        <v>48</v>
      </c>
      <c r="C24" s="58" t="s">
        <v>31</v>
      </c>
      <c r="D24" s="45" t="str">
        <f>$D$5</f>
        <v>FY2024 Approved Budget</v>
      </c>
      <c r="E24" s="46" t="str">
        <f>$E$5</f>
        <v>FY2024 Expenses</v>
      </c>
      <c r="F24" s="47" t="str">
        <f>$F$5</f>
        <v>FY2024 Difference</v>
      </c>
      <c r="G24" s="89" t="s">
        <v>32</v>
      </c>
      <c r="H24" s="66" t="str">
        <f t="shared" si="7"/>
        <v xml:space="preserve"> </v>
      </c>
      <c r="I24" s="57" t="str">
        <f t="shared" si="8"/>
        <v xml:space="preserve"> </v>
      </c>
    </row>
    <row r="25" spans="1:9" ht="15.75" thickBot="1">
      <c r="B25" s="8" t="s">
        <v>49</v>
      </c>
      <c r="C25" s="9"/>
      <c r="D25" s="82">
        <v>15222</v>
      </c>
      <c r="E25" s="68">
        <v>21358.53</v>
      </c>
      <c r="F25" s="53">
        <f t="shared" ref="F25" si="9">D25-E25</f>
        <v>-6136.5299999999988</v>
      </c>
      <c r="G25" s="90"/>
      <c r="H25" s="66"/>
      <c r="I25" s="57"/>
    </row>
    <row r="26" spans="1:9" ht="59.25" customHeight="1">
      <c r="B26" s="155" t="s">
        <v>50</v>
      </c>
      <c r="C26" s="156"/>
      <c r="D26" s="18">
        <f>SUM(D25:D25)</f>
        <v>15222</v>
      </c>
      <c r="E26" s="19">
        <f>SUM(E25:E25)</f>
        <v>21358.53</v>
      </c>
      <c r="F26" s="20">
        <f>SUM(F25:F25)</f>
        <v>-6136.5299999999988</v>
      </c>
      <c r="G26" s="93"/>
      <c r="H26" s="66" t="str">
        <f t="shared" si="7"/>
        <v>OVER APPROVED BUDGET</v>
      </c>
      <c r="I26" s="123" t="s">
        <v>51</v>
      </c>
    </row>
    <row r="27" spans="1:9" ht="15.75" thickBot="1">
      <c r="B27" s="23"/>
      <c r="C27" s="24"/>
      <c r="D27" s="25"/>
      <c r="E27" s="25"/>
      <c r="F27" s="25"/>
      <c r="G27" s="94"/>
      <c r="H27" s="66"/>
      <c r="I27" s="57"/>
    </row>
    <row r="28" spans="1:9" ht="19.5" thickBot="1">
      <c r="B28" s="152" t="s">
        <v>52</v>
      </c>
      <c r="C28" s="153"/>
      <c r="D28" s="153"/>
      <c r="E28" s="153"/>
      <c r="F28" s="153"/>
      <c r="G28" s="154"/>
      <c r="H28" s="66"/>
      <c r="I28" s="57"/>
    </row>
    <row r="29" spans="1:9">
      <c r="A29" s="7"/>
      <c r="B29" s="5" t="s">
        <v>53</v>
      </c>
      <c r="C29" s="6" t="s">
        <v>31</v>
      </c>
      <c r="D29" s="45" t="str">
        <f>$D$5</f>
        <v>FY2024 Approved Budget</v>
      </c>
      <c r="E29" s="46" t="str">
        <f>$E$5</f>
        <v>FY2024 Expenses</v>
      </c>
      <c r="F29" s="47" t="str">
        <f>$F$5</f>
        <v>FY2024 Difference</v>
      </c>
      <c r="G29" s="89" t="s">
        <v>32</v>
      </c>
      <c r="H29" s="66"/>
      <c r="I29" s="57"/>
    </row>
    <row r="30" spans="1:9" ht="15.75" thickBot="1">
      <c r="B30" s="8" t="s">
        <v>52</v>
      </c>
      <c r="C30" s="9"/>
      <c r="D30" s="51"/>
      <c r="E30" s="68"/>
      <c r="F30" s="53">
        <f t="shared" ref="F30" si="10">D30-E30</f>
        <v>0</v>
      </c>
      <c r="G30" s="95"/>
      <c r="H30" s="66"/>
      <c r="I30" s="57"/>
    </row>
    <row r="31" spans="1:9" ht="20.25" thickTop="1" thickBot="1">
      <c r="B31" s="157" t="s">
        <v>54</v>
      </c>
      <c r="C31" s="158"/>
      <c r="D31" s="18">
        <f>SUM(D30:D30)</f>
        <v>0</v>
      </c>
      <c r="E31" s="19">
        <f>SUM(E30:E30)</f>
        <v>0</v>
      </c>
      <c r="F31" s="20">
        <f>D31-E31</f>
        <v>0</v>
      </c>
      <c r="G31" s="93"/>
      <c r="H31" s="66" t="str">
        <f t="shared" ref="H31" si="11">IF(F31&lt;0,"OVER APPROVED BUDGET"," ")</f>
        <v xml:space="preserve"> </v>
      </c>
      <c r="I31" s="123"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92"/>
      <c r="H32" s="66"/>
      <c r="I32" s="57"/>
    </row>
    <row r="33" spans="1:9" ht="19.5" thickBot="1">
      <c r="B33" s="152" t="s">
        <v>55</v>
      </c>
      <c r="C33" s="153"/>
      <c r="D33" s="153"/>
      <c r="E33" s="153"/>
      <c r="F33" s="153"/>
      <c r="G33" s="154"/>
      <c r="H33" s="66"/>
      <c r="I33" s="57"/>
    </row>
    <row r="34" spans="1:9">
      <c r="A34" s="7"/>
      <c r="B34" s="5" t="s">
        <v>53</v>
      </c>
      <c r="C34" s="6" t="s">
        <v>31</v>
      </c>
      <c r="D34" s="45" t="str">
        <f>$D$5</f>
        <v>FY2024 Approved Budget</v>
      </c>
      <c r="E34" s="46" t="str">
        <f>$E$5</f>
        <v>FY2024 Expenses</v>
      </c>
      <c r="F34" s="47" t="str">
        <f>$F$5</f>
        <v>FY2024 Difference</v>
      </c>
      <c r="G34" s="89" t="s">
        <v>32</v>
      </c>
      <c r="H34" s="66"/>
      <c r="I34" s="57"/>
    </row>
    <row r="35" spans="1:9">
      <c r="B35" s="8" t="s">
        <v>56</v>
      </c>
      <c r="C35" s="74"/>
      <c r="D35" s="51"/>
      <c r="E35" s="68"/>
      <c r="F35" s="53">
        <f t="shared" ref="F35" si="12">D35-E35</f>
        <v>0</v>
      </c>
      <c r="G35" s="96"/>
      <c r="H35" s="66"/>
      <c r="I35" s="57"/>
    </row>
    <row r="36" spans="1:9">
      <c r="B36" s="8" t="s">
        <v>57</v>
      </c>
      <c r="C36" s="74"/>
      <c r="D36" s="51"/>
      <c r="E36" s="68"/>
      <c r="F36" s="53">
        <f t="shared" ref="F36:F37" si="13">D36-E36</f>
        <v>0</v>
      </c>
      <c r="G36" s="96"/>
      <c r="H36" s="66"/>
      <c r="I36" s="57"/>
    </row>
    <row r="37" spans="1:9">
      <c r="B37" s="49" t="s">
        <v>58</v>
      </c>
      <c r="C37" s="75"/>
      <c r="D37" s="55"/>
      <c r="E37" s="76"/>
      <c r="F37" s="53">
        <f t="shared" si="13"/>
        <v>0</v>
      </c>
      <c r="G37" s="96"/>
      <c r="H37" s="66"/>
      <c r="I37" s="57"/>
    </row>
    <row r="38" spans="1:9" ht="15.75" thickBot="1">
      <c r="B38" s="10" t="s">
        <v>59</v>
      </c>
      <c r="C38" s="77"/>
      <c r="D38" s="52"/>
      <c r="E38" s="69"/>
      <c r="F38" s="54">
        <f>D38-E38</f>
        <v>0</v>
      </c>
      <c r="G38" s="96"/>
      <c r="H38" s="66"/>
      <c r="I38" s="57"/>
    </row>
    <row r="39" spans="1:9" ht="20.25" thickTop="1" thickBot="1">
      <c r="B39" s="155" t="s">
        <v>60</v>
      </c>
      <c r="C39" s="159"/>
      <c r="D39" s="18">
        <f>SUM(D35:D38)</f>
        <v>0</v>
      </c>
      <c r="E39" s="19">
        <f>SUM(E35:E38)</f>
        <v>0</v>
      </c>
      <c r="F39" s="20">
        <f>D39-E39</f>
        <v>0</v>
      </c>
      <c r="G39" s="93"/>
      <c r="H39" s="66" t="str">
        <f t="shared" ref="H39" si="14">IF(F39&lt;0,"OVER APPROVED BUDGET"," ")</f>
        <v xml:space="preserve"> </v>
      </c>
      <c r="I39" s="123"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4"/>
      <c r="H40" s="66"/>
      <c r="I40" s="57"/>
    </row>
    <row r="41" spans="1:9" ht="19.5" thickBot="1">
      <c r="B41" s="169" t="s">
        <v>61</v>
      </c>
      <c r="C41" s="170"/>
      <c r="D41" s="170"/>
      <c r="E41" s="170"/>
      <c r="F41" s="170"/>
      <c r="G41" s="171"/>
      <c r="H41" s="66"/>
      <c r="I41" s="57"/>
    </row>
    <row r="42" spans="1:9">
      <c r="A42" s="7"/>
      <c r="B42" s="14"/>
      <c r="C42" s="15"/>
      <c r="D42" s="45" t="str">
        <f>$D$5</f>
        <v>FY2024 Approved Budget</v>
      </c>
      <c r="E42" s="46" t="str">
        <f>$E$5</f>
        <v>FY2024 Expenses</v>
      </c>
      <c r="F42" s="47" t="str">
        <f>$F$5</f>
        <v>FY2024 Difference</v>
      </c>
      <c r="G42" s="89" t="s">
        <v>32</v>
      </c>
      <c r="H42" s="66"/>
      <c r="I42" s="57"/>
    </row>
    <row r="43" spans="1:9" ht="19.5" thickBot="1">
      <c r="B43" s="157" t="s">
        <v>62</v>
      </c>
      <c r="C43" s="158"/>
      <c r="D43" s="35">
        <f>SUM(D10,D17,D21,D26,D31,D39,)</f>
        <v>45142.69</v>
      </c>
      <c r="E43" s="36">
        <f>SUM(E10,E17,E21,E26,E31,E39,)</f>
        <v>42057.58</v>
      </c>
      <c r="F43" s="62">
        <f>D43-E43</f>
        <v>3085.1100000000006</v>
      </c>
      <c r="G43" s="93"/>
      <c r="H43" s="66" t="str">
        <f t="shared" si="7"/>
        <v xml:space="preserve"> </v>
      </c>
      <c r="I43" s="123"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3"/>
      <c r="C44" s="24"/>
      <c r="D44" s="25"/>
      <c r="E44" s="25"/>
      <c r="F44" s="25"/>
      <c r="G44" s="97"/>
      <c r="H44" s="66"/>
      <c r="I44" s="57"/>
    </row>
    <row r="45" spans="1:9" ht="19.5" thickBot="1">
      <c r="B45" s="166" t="s">
        <v>63</v>
      </c>
      <c r="C45" s="167"/>
      <c r="D45" s="167"/>
      <c r="E45" s="167"/>
      <c r="F45" s="167"/>
      <c r="G45" s="168"/>
      <c r="H45" s="66"/>
      <c r="I45" s="57"/>
    </row>
    <row r="46" spans="1:9">
      <c r="A46" s="7"/>
      <c r="B46" s="5" t="s">
        <v>53</v>
      </c>
      <c r="C46" s="6" t="s">
        <v>31</v>
      </c>
      <c r="D46" s="45" t="str">
        <f>$D$5</f>
        <v>FY2024 Approved Budget</v>
      </c>
      <c r="E46" s="46" t="str">
        <f>$E$5</f>
        <v>FY2024 Expenses</v>
      </c>
      <c r="F46" s="47" t="str">
        <f>$F$5</f>
        <v>FY2024 Difference</v>
      </c>
      <c r="G46" s="89" t="s">
        <v>32</v>
      </c>
      <c r="H46" s="66"/>
      <c r="I46" s="57"/>
    </row>
    <row r="47" spans="1:9" ht="15.75" thickBot="1">
      <c r="B47" s="10" t="s">
        <v>63</v>
      </c>
      <c r="C47" s="11" t="s">
        <v>64</v>
      </c>
      <c r="D47" s="59">
        <f>ROUNDUP(D43*0.02,-1)</f>
        <v>910</v>
      </c>
      <c r="E47" s="63"/>
      <c r="F47" s="62">
        <f>D47-E47</f>
        <v>910</v>
      </c>
      <c r="G47" s="98"/>
      <c r="H47" s="66"/>
      <c r="I47" s="57"/>
    </row>
    <row r="48" spans="1:9">
      <c r="B48" s="14"/>
      <c r="C48" s="15"/>
      <c r="D48" s="28"/>
      <c r="E48" s="28"/>
      <c r="F48" s="28"/>
      <c r="G48" s="99"/>
      <c r="H48" s="66"/>
      <c r="I48" s="57"/>
    </row>
    <row r="49" spans="1:9" ht="15.75" thickBot="1">
      <c r="B49" s="29"/>
      <c r="C49" s="25"/>
      <c r="D49" s="25"/>
      <c r="E49" s="25"/>
      <c r="F49" s="25"/>
      <c r="G49" s="94"/>
      <c r="H49" s="66"/>
      <c r="I49" s="57"/>
    </row>
    <row r="50" spans="1:9" s="31" customFormat="1" ht="27" thickBot="1">
      <c r="A50" s="30"/>
      <c r="B50" s="172" t="str">
        <f>_xlfn.CONCAT('Project Information Summary'!C11, " ", "Budget Summary")</f>
        <v>FY2024 Budget Summary</v>
      </c>
      <c r="C50" s="173"/>
      <c r="D50" s="174"/>
      <c r="E50" s="174"/>
      <c r="F50" s="174"/>
      <c r="G50" s="175"/>
      <c r="H50" s="66"/>
      <c r="I50" s="57"/>
    </row>
    <row r="51" spans="1:9">
      <c r="B51" s="14"/>
      <c r="C51" s="15"/>
      <c r="D51" s="45" t="str">
        <f>$D$5</f>
        <v>FY2024 Approved Budget</v>
      </c>
      <c r="E51" s="46" t="str">
        <f>$E$5</f>
        <v>FY2024 Expenses</v>
      </c>
      <c r="F51" s="47" t="str">
        <f>$F$5</f>
        <v>FY2024 Difference</v>
      </c>
      <c r="G51" s="89" t="s">
        <v>32</v>
      </c>
      <c r="H51" s="66"/>
      <c r="I51" s="57"/>
    </row>
    <row r="52" spans="1:9" ht="27" thickBot="1">
      <c r="B52" s="161" t="s">
        <v>65</v>
      </c>
      <c r="C52" s="162"/>
      <c r="D52" s="60">
        <f>ROUNDUP(D43+D47,-2)</f>
        <v>46100</v>
      </c>
      <c r="E52" s="36">
        <f>E43+E47</f>
        <v>42057.58</v>
      </c>
      <c r="F52" s="61">
        <f>D52-E52</f>
        <v>4042.4199999999983</v>
      </c>
      <c r="G52" s="93"/>
      <c r="H52" s="66" t="str">
        <f t="shared" ref="H52" si="15">IF(F52&lt;0,"OVER APPROVED BUDGET"," ")</f>
        <v xml:space="preserve"> </v>
      </c>
      <c r="I52" s="123" t="str">
        <f>IF(H52="OVER APPROVED BUDGET","You appear to have spent outside of your approved budget. Any deficit in this project account is the responsibility of the department/project to fill, not that of the Campus Sustainability Fund. ", " ")</f>
        <v xml:space="preserve"> </v>
      </c>
    </row>
    <row r="53" spans="1:9">
      <c r="B53" s="14"/>
      <c r="C53" s="15"/>
      <c r="D53" s="28"/>
      <c r="E53" s="28"/>
      <c r="F53" s="28"/>
      <c r="G53" s="99"/>
      <c r="H53" s="66"/>
      <c r="I53" s="57"/>
    </row>
    <row r="54" spans="1:9" ht="15.75" thickBot="1">
      <c r="B54" s="29"/>
      <c r="C54" s="25"/>
      <c r="D54" s="25"/>
      <c r="E54" s="25"/>
      <c r="F54" s="25"/>
      <c r="G54" s="94"/>
      <c r="H54" s="66"/>
      <c r="I54" s="57"/>
    </row>
    <row r="55" spans="1:9" ht="27" thickBot="1">
      <c r="B55" s="172" t="s">
        <v>66</v>
      </c>
      <c r="C55" s="173"/>
      <c r="D55" s="173"/>
      <c r="E55" s="173"/>
      <c r="F55" s="173"/>
      <c r="G55" s="175"/>
      <c r="H55" s="66"/>
      <c r="I55" s="57"/>
    </row>
    <row r="56" spans="1:9">
      <c r="B56" s="14"/>
      <c r="C56" s="15"/>
      <c r="D56" s="163" t="str">
        <f>'Project Information Summary'!C11</f>
        <v>FY2024</v>
      </c>
      <c r="E56" s="164"/>
      <c r="F56" s="165"/>
      <c r="G56" s="100" t="s">
        <v>32</v>
      </c>
      <c r="H56" s="66"/>
      <c r="I56" s="57"/>
    </row>
    <row r="57" spans="1:9" ht="27" thickBot="1">
      <c r="B57" s="161" t="s">
        <v>67</v>
      </c>
      <c r="C57" s="162"/>
      <c r="D57" s="65"/>
      <c r="E57" s="64">
        <f>IF(F52&lt;0,0,F52)</f>
        <v>4042.4199999999983</v>
      </c>
      <c r="F57" s="83"/>
      <c r="G57" s="101"/>
      <c r="H57" s="66" t="str">
        <f>IF(E57&gt;F52,"OVER APPROVED BUDGET"," ")</f>
        <v xml:space="preserve"> </v>
      </c>
      <c r="I57" s="123" t="str">
        <f>IF(H57="OVER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8" spans="1:9" ht="30" customHeight="1">
      <c r="B58" s="32"/>
      <c r="C58" s="33"/>
      <c r="D58" s="34"/>
      <c r="E58" s="34"/>
      <c r="F58" s="34"/>
      <c r="G58" s="102"/>
      <c r="H58" s="67" t="str">
        <f>IF(E57=F52,"UNDER APPROVED BUDGET"," ")</f>
        <v>UNDER APPROVED BUDGET</v>
      </c>
      <c r="I58" s="123" t="str">
        <f>IF(H58="UNDER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9" spans="1:9">
      <c r="B59" s="32"/>
      <c r="C59" s="33"/>
      <c r="D59" s="34"/>
      <c r="E59" s="34"/>
      <c r="F59" s="34"/>
      <c r="G59" s="102"/>
    </row>
    <row r="60" spans="1:9">
      <c r="B60" s="32"/>
      <c r="C60" s="33"/>
      <c r="D60" s="34"/>
      <c r="E60" s="34"/>
      <c r="F60" s="34"/>
      <c r="G60" s="102"/>
    </row>
    <row r="61" spans="1:9">
      <c r="B61" s="32"/>
      <c r="C61" s="33"/>
      <c r="D61" s="34"/>
      <c r="E61" s="34"/>
      <c r="F61" s="34"/>
      <c r="G61" s="102"/>
    </row>
    <row r="62" spans="1:9">
      <c r="B62" s="33"/>
      <c r="C62" s="33"/>
      <c r="D62" s="34"/>
      <c r="E62" s="34"/>
      <c r="F62" s="34"/>
      <c r="G62" s="102"/>
    </row>
  </sheetData>
  <protectedRanges>
    <protectedRange sqref="C35:E38" name="Travel"/>
    <protectedRange sqref="C30:F30 F35:F38" name="Capital Equipment"/>
    <protectedRange sqref="C25:F25" name="Supplies"/>
    <protectedRange sqref="G6:G10 G13:G17 G20:G21 G43 G52 G57 G25:G26 G30:G31 G35:G39" name="Notes"/>
  </protectedRanges>
  <mergeCells count="19">
    <mergeCell ref="B57:C57"/>
    <mergeCell ref="D56:F56"/>
    <mergeCell ref="B39:C39"/>
    <mergeCell ref="B45:G45"/>
    <mergeCell ref="B28:G28"/>
    <mergeCell ref="B31:C31"/>
    <mergeCell ref="B33:G33"/>
    <mergeCell ref="B41:G41"/>
    <mergeCell ref="B43:C43"/>
    <mergeCell ref="B52:C52"/>
    <mergeCell ref="B50:G50"/>
    <mergeCell ref="B55:G55"/>
    <mergeCell ref="B2:G2"/>
    <mergeCell ref="B4:G4"/>
    <mergeCell ref="B26:C26"/>
    <mergeCell ref="B17:C17"/>
    <mergeCell ref="B23:G23"/>
    <mergeCell ref="B21:C21"/>
    <mergeCell ref="B10:C10"/>
  </mergeCells>
  <conditionalFormatting sqref="F1:F1048576">
    <cfRule type="cellIs" dxfId="1" priority="2" operator="lessThan">
      <formula>0</formula>
    </cfRule>
  </conditionalFormatting>
  <conditionalFormatting sqref="H6:H58">
    <cfRule type="containsText" dxfId="0" priority="11" operator="containsText" text="OVER BUDGET">
      <formula>NOT(ISERROR(SEARCH("OVER BUDGET",H6)))</formula>
    </cfRule>
  </conditionalFormatting>
  <dataValidations count="3">
    <dataValidation allowBlank="1" showInputMessage="1" showErrorMessage="1" promptTitle="Administrative Service Charge" prompt="Note: All ASCs are rounded up to the nearest multiple of $10. " sqref="D47:F47" xr:uid="{AB473368-4C11-4406-A64F-CA0556BEC8A6}"/>
    <dataValidation allowBlank="1" showInputMessage="1" showErrorMessage="1" promptTitle="Additional Information" prompt="More information on Capital Equipment can be found in the Additional Info &amp; Definitions sheet. " sqref="B28:G28" xr:uid="{F5E56512-9A1E-44E5-917F-4829607AD3DE}"/>
    <dataValidation allowBlank="1" showInputMessage="1" showErrorMessage="1" promptTitle="Additional Information" prompt="More information on Administrative Service Charge can be found in the Additional Info &amp; Definitions sheet. " sqref="B45:G45" xr:uid="{0F3CFF8C-22DB-4E73-BC8A-1447B420D3EB}"/>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896E677C-A7DE-4F56-A840-FF9F57EB49F6}"/>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Haworth, Emily - (emilyhaworth)</cp:lastModifiedBy>
  <cp:revision/>
  <dcterms:created xsi:type="dcterms:W3CDTF">2021-07-07T22:51:00Z</dcterms:created>
  <dcterms:modified xsi:type="dcterms:W3CDTF">2024-10-18T18:21:43Z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