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mc:AlternateContent xmlns:mc="http://schemas.openxmlformats.org/markup-compatibility/2006">
    <mc:Choice Requires="x15">
      <x15ac:absPath xmlns:x15ac="http://schemas.microsoft.com/office/spreadsheetml/2010/11/ac" url="C:\Users\emilyhaworth\Downloads\"/>
    </mc:Choice>
  </mc:AlternateContent>
  <xr:revisionPtr revIDLastSave="15" documentId="13_ncr:1_{558567EA-F0E3-4A51-8F16-8DAA9238A7C0}" xr6:coauthVersionLast="47" xr6:coauthVersionMax="47" xr10:uidLastSave="{AF41B6F8-9E02-4D54-B432-41F78F727806}"/>
  <bookViews>
    <workbookView xWindow="28680" yWindow="-120" windowWidth="29040" windowHeight="15840" firstSheet="1" activeTab="1" xr2:uid="{00000000-000D-0000-FFFF-FFFF00000000}"/>
  </bookViews>
  <sheets>
    <sheet name="Project Information Summary" sheetId="3" r:id="rId1"/>
    <sheet name="Operating Budget" sheetId="1"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E25" i="3" l="1"/>
  <c r="C25" i="3"/>
  <c r="F43" i="1"/>
  <c r="F31" i="1"/>
  <c r="F17" i="1"/>
  <c r="F10" i="1"/>
  <c r="D34" i="3"/>
  <c r="B2" i="1"/>
  <c r="B2" i="3"/>
  <c r="F35" i="1"/>
  <c r="F30" i="1"/>
  <c r="F6" i="1"/>
  <c r="F13" i="1"/>
  <c r="F25" i="1"/>
  <c r="D39" i="3"/>
  <c r="C39" i="3"/>
  <c r="E29" i="3"/>
  <c r="C28" i="3"/>
  <c r="D28" i="3"/>
  <c r="D36" i="3"/>
  <c r="E39" i="3"/>
  <c r="E28" i="3"/>
  <c r="C36" i="3"/>
  <c r="C34" i="3"/>
  <c r="B28" i="3"/>
  <c r="E30" i="3"/>
  <c r="E31" i="3"/>
  <c r="E32" i="3"/>
  <c r="E33" i="3"/>
  <c r="E34" i="3" l="1"/>
  <c r="D56" i="1" l="1"/>
  <c r="B50" i="1"/>
  <c r="E16" i="3"/>
  <c r="F5" i="1" s="1"/>
  <c r="D16" i="3"/>
  <c r="C16" i="3"/>
  <c r="D5" i="1" s="1"/>
  <c r="D20" i="3"/>
  <c r="C20" i="3"/>
  <c r="D19" i="3"/>
  <c r="C19" i="3"/>
  <c r="D18" i="3"/>
  <c r="C18" i="3"/>
  <c r="D17" i="3"/>
  <c r="C17" i="3"/>
  <c r="E5" i="1" l="1"/>
  <c r="F51" i="1" l="1"/>
  <c r="E51" i="1"/>
  <c r="D51" i="1"/>
  <c r="F46" i="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9" i="3" s="1"/>
  <c r="F14" i="1"/>
  <c r="E18" i="3" s="1"/>
  <c r="E17" i="3"/>
  <c r="E20" i="3" l="1"/>
  <c r="E39" i="1"/>
  <c r="D23" i="3" s="1"/>
  <c r="D39" i="1"/>
  <c r="C23" i="3" s="1"/>
  <c r="F39" i="1" l="1"/>
  <c r="D26" i="1"/>
  <c r="C21" i="3" s="1"/>
  <c r="D31" i="1"/>
  <c r="C22" i="3" s="1"/>
  <c r="E31" i="1"/>
  <c r="D22" i="3" s="1"/>
  <c r="E26" i="1"/>
  <c r="D21" i="3" s="1"/>
  <c r="F26" i="1"/>
  <c r="E21" i="3" s="1"/>
  <c r="H39" i="1" l="1"/>
  <c r="I39" i="1" s="1"/>
  <c r="E23" i="3"/>
  <c r="H26" i="1"/>
  <c r="I26" i="1" s="1"/>
  <c r="D21" i="1"/>
  <c r="E21" i="1"/>
  <c r="E22" i="3" l="1"/>
  <c r="I31" i="1"/>
  <c r="F21" i="1"/>
  <c r="H21" i="1" s="1"/>
  <c r="I21" i="1" s="1"/>
  <c r="E10" i="1"/>
  <c r="D10" i="1" l="1"/>
  <c r="I10" i="1" s="1"/>
  <c r="E17" i="1"/>
  <c r="D17" i="1"/>
  <c r="H17" i="1" l="1"/>
  <c r="I17" i="1" s="1"/>
  <c r="D43" i="1"/>
  <c r="E43" i="1"/>
  <c r="D47" i="1" l="1"/>
  <c r="D52" i="1" s="1"/>
  <c r="I43" i="1"/>
  <c r="D24" i="3"/>
  <c r="D25" i="3" s="1"/>
  <c r="D37" i="3" l="1"/>
  <c r="D40" i="3" s="1"/>
  <c r="C24" i="3"/>
  <c r="E52" i="1"/>
  <c r="F47" i="1"/>
  <c r="E24" i="3" s="1"/>
  <c r="C37" i="3" l="1"/>
  <c r="C40" i="3" s="1"/>
  <c r="F52" i="1"/>
  <c r="E57" i="1" s="1"/>
  <c r="H58" i="1" s="1"/>
  <c r="E40" i="3" l="1"/>
  <c r="H52" i="1"/>
  <c r="I58" i="1"/>
  <c r="H57" i="1"/>
  <c r="I57" i="1" s="1"/>
  <c r="G40" i="3" l="1"/>
  <c r="F25" i="3"/>
  <c r="G25" i="3" s="1"/>
  <c r="I52" i="1"/>
</calcChain>
</file>

<file path=xl/sharedStrings.xml><?xml version="1.0" encoding="utf-8"?>
<sst xmlns="http://schemas.openxmlformats.org/spreadsheetml/2006/main" count="99" uniqueCount="71">
  <si>
    <t>Project Information Summary</t>
  </si>
  <si>
    <t>Project Name</t>
  </si>
  <si>
    <t>Feeding the Future</t>
  </si>
  <si>
    <t>Department Name</t>
  </si>
  <si>
    <t>Biosphere 2</t>
  </si>
  <si>
    <t>Department Number</t>
  </si>
  <si>
    <t>KFS Account Number</t>
  </si>
  <si>
    <t>Subaccount Number</t>
  </si>
  <si>
    <t>Project Code</t>
  </si>
  <si>
    <t>AG 23.52</t>
  </si>
  <si>
    <t>Fiscal Year</t>
  </si>
  <si>
    <t>FY2023</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</si>
  <si>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</si>
  <si>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</si>
  <si>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</si>
  <si>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</si>
  <si>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</si>
  <si>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</si>
  <si>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</si>
  <si>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</si>
  <si>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</si>
  <si>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</si>
  <si>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Administrative Service Charge</t>
  </si>
  <si>
    <t>Total Budget</t>
  </si>
  <si>
    <t>Additional Funding Sources Summary</t>
  </si>
  <si>
    <t>Matching Support from TRIF initiative (KFS 5851082)</t>
  </si>
  <si>
    <t>Project Mgmt/Coordination - 2 weeks -Deputy Director -B2</t>
  </si>
  <si>
    <t>Electrical Wiring - 32 hours - Electrician - B2/materials- wire, conduits, switchboard</t>
  </si>
  <si>
    <t>Electrical Engineer-B2 -32 hours- connectivity and monitoring</t>
  </si>
  <si>
    <t>Installation/Set-up - 4 weeks - Research Specialist-B2</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</si>
  <si>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</si>
  <si>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</si>
  <si>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</si>
  <si>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</si>
  <si>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</si>
  <si>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</si>
  <si>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</si>
  <si>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</si>
  <si>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</si>
  <si>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</si>
  <si>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</si>
  <si>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</si>
  <si>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</si>
  <si>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</si>
  <si>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</si>
  <si>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</si>
  <si>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</si>
  <si>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</si>
  <si>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</si>
  <si>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</si>
  <si>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</si>
  <si>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</si>
  <si>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</si>
  <si>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</si>
  <si>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</si>
  <si>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</si>
  <si>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</si>
  <si>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</si>
  <si>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</si>
  <si>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</si>
  <si>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</si>
  <si>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</si>
  <si>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</si>
  <si>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</si>
  <si>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</si>
  <si>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</si>
  <si>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Administrative Service Charge</t>
  </si>
  <si>
    <t>Administrative Service Charge (2%)</t>
  </si>
  <si>
    <t>Total Project Expenses</t>
  </si>
  <si>
    <t>Funding Balance Remaining</t>
  </si>
  <si>
    <t xml:space="preserve">Current Account Balance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</si>
</sst>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75">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9"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3" fillId="0" borderId="48"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1"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9"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0" borderId="52" xfId="0" applyNumberFormat="1" applyFont="1" applyBorder="1" applyAlignment="1">
      <alignment horizontal="center" vertical="center"/>
    </xf>
    <xf numFmtId="44" fontId="3" fillId="7" borderId="52"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5"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44" fontId="3" fillId="0" borderId="24" xfId="0" applyNumberFormat="1" applyFont="1" applyBorder="1" applyAlignment="1">
      <alignment horizontal="left" vertical="center"/>
    </xf>
    <xf numFmtId="0" fontId="3" fillId="0" borderId="29" xfId="0" applyFont="1" applyBorder="1" applyAlignment="1">
      <alignment horizontal="center" vertical="center"/>
    </xf>
    <xf numFmtId="0" fontId="3" fillId="8" borderId="58"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39" fontId="3" fillId="7" borderId="16" xfId="0" applyNumberFormat="1" applyFont="1" applyFill="1" applyBorder="1" applyAlignment="1">
      <alignment horizontal="left" vertical="center" wrapText="1"/>
    </xf>
    <xf numFmtId="0" fontId="5" fillId="7" borderId="30"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44" fontId="3" fillId="0" borderId="25" xfId="0" applyNumberFormat="1" applyFont="1" applyBorder="1" applyAlignment="1">
      <alignment horizontal="left" vertical="center"/>
    </xf>
    <xf numFmtId="44" fontId="3" fillId="0" borderId="28"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4"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60" xfId="0" applyFont="1" applyBorder="1" applyAlignment="1">
      <alignment horizontal="left" vertical="center"/>
    </xf>
    <xf numFmtId="0" fontId="7" fillId="3" borderId="56" xfId="0" applyFont="1" applyFill="1" applyBorder="1" applyAlignment="1">
      <alignment horizontal="right" vertical="center"/>
    </xf>
    <xf numFmtId="44" fontId="3" fillId="6" borderId="50"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8"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8" fontId="3" fillId="0" borderId="22" xfId="1" applyNumberFormat="1" applyFont="1" applyFill="1" applyBorder="1" applyAlignment="1">
      <alignment horizontal="center" vertical="center"/>
    </xf>
    <xf numFmtId="0" fontId="3" fillId="0" borderId="60" xfId="0" applyFont="1" applyBorder="1" applyAlignment="1">
      <alignment horizontal="left" vertical="center" wrapText="1"/>
    </xf>
    <xf numFmtId="44" fontId="3" fillId="0" borderId="22" xfId="1" applyFont="1" applyBorder="1" applyAlignment="1">
      <alignment horizontal="center" vertical="center"/>
    </xf>
    <xf numFmtId="0" fontId="7" fillId="4" borderId="19" xfId="0" applyFont="1" applyFill="1" applyBorder="1" applyAlignment="1">
      <alignment horizontal="center"/>
    </xf>
    <xf numFmtId="0" fontId="7" fillId="4" borderId="53"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9"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38" xfId="0" applyFont="1" applyFill="1" applyBorder="1" applyAlignment="1">
      <alignment horizontal="center" vertical="center"/>
    </xf>
    <xf numFmtId="0" fontId="7" fillId="5" borderId="3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7" xfId="0" applyFont="1" applyFill="1" applyBorder="1" applyAlignment="1">
      <alignment horizontal="right" vertical="center"/>
    </xf>
  </cellXfs>
  <cellStyles count="3">
    <cellStyle name="Currency" xfId="1" builtinId="4"/>
    <cellStyle name="Normal" xfId="0" builtinId="0"/>
    <cellStyle name="Percent" xfId="2" builtinId="5"/>
  </cellStyles>
  <dxfs count="11">
    <dxf>
      <font>
        <color rgb="FF9C0006"/>
      </font>
      <fill>
        <patternFill>
          <bgColor rgb="FFFFC7CE"/>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40"/>
  <sheetViews>
    <sheetView topLeftCell="A24" zoomScale="80" zoomScaleNormal="80" workbookViewId="0">
      <selection activeCell="F40" sqref="F40"/>
    </sheetView>
  </sheetViews>
  <sheetFormatPr defaultRowHeight="15"/>
  <cols>
    <col min="1" max="1" width="3.125" style="1" customWidth="1"/>
    <col min="2" max="2" width="52" style="1" customWidth="1"/>
    <col min="3" max="4" width="40.625" style="1" customWidth="1"/>
    <col min="5" max="5" width="50.25" style="1" bestFit="1" customWidth="1"/>
    <col min="6" max="6" width="21" style="56" bestFit="1" customWidth="1"/>
    <col min="7" max="7" width="46" style="1" customWidth="1"/>
    <col min="8" max="16384" width="9" style="1"/>
  </cols>
  <sheetData>
    <row r="1" spans="2:7" ht="15.75" thickBot="1"/>
    <row r="2" spans="2:7" ht="27" thickBot="1">
      <c r="B2" s="142" t="str">
        <f>_xlfn.CONCAT("Campus Sustainability Fund - Approved Project Information Summary for", " ",C5)</f>
        <v>Campus Sustainability Fund - Approved Project Information Summary for Feeding the Future</v>
      </c>
      <c r="C2" s="143"/>
      <c r="D2" s="143"/>
      <c r="E2" s="143"/>
      <c r="F2" s="143"/>
      <c r="G2" s="144"/>
    </row>
    <row r="3" spans="2:7" ht="15.75" thickBot="1"/>
    <row r="4" spans="2:7" ht="18.75">
      <c r="B4" s="147" t="s">
        <v>0</v>
      </c>
      <c r="C4" s="148"/>
    </row>
    <row r="5" spans="2:7">
      <c r="B5" s="39" t="s">
        <v>1</v>
      </c>
      <c r="C5" s="86" t="s">
        <v>2</v>
      </c>
    </row>
    <row r="6" spans="2:7">
      <c r="B6" s="39" t="s">
        <v>3</v>
      </c>
      <c r="C6" s="86" t="s">
        <v>4</v>
      </c>
    </row>
    <row r="7" spans="2:7">
      <c r="B7" s="39" t="s">
        <v>5</v>
      </c>
      <c r="C7" s="86">
        <v>1306</v>
      </c>
    </row>
    <row r="8" spans="2:7">
      <c r="B8" s="39" t="s">
        <v>6</v>
      </c>
      <c r="C8" s="86">
        <v>2234751</v>
      </c>
    </row>
    <row r="9" spans="2:7">
      <c r="B9" s="39" t="s">
        <v>7</v>
      </c>
      <c r="C9" s="86">
        <v>23.52</v>
      </c>
    </row>
    <row r="10" spans="2:7">
      <c r="B10" s="39" t="s">
        <v>8</v>
      </c>
      <c r="C10" s="86" t="s">
        <v>9</v>
      </c>
    </row>
    <row r="11" spans="2:7">
      <c r="B11" s="48" t="s">
        <v>10</v>
      </c>
      <c r="C11" s="87" t="s">
        <v>11</v>
      </c>
    </row>
    <row r="12" spans="2:7">
      <c r="B12" s="48" t="s">
        <v>12</v>
      </c>
      <c r="C12" s="124">
        <v>44743</v>
      </c>
    </row>
    <row r="13" spans="2:7" ht="15.75" thickBot="1">
      <c r="B13" s="40" t="s">
        <v>13</v>
      </c>
      <c r="C13" s="125">
        <v>45107</v>
      </c>
    </row>
    <row r="14" spans="2:7" ht="15.75" thickBot="1"/>
    <row r="15" spans="2:7" ht="19.5" thickBot="1">
      <c r="B15" s="139" t="s">
        <v>14</v>
      </c>
      <c r="C15" s="140"/>
      <c r="D15" s="140"/>
      <c r="E15" s="141"/>
      <c r="F15" s="108"/>
    </row>
    <row r="16" spans="2:7">
      <c r="B16" s="41"/>
      <c r="C16" s="78" t="str">
        <f>_xlfn.CONCAT(C11, " ", "Approved Budget")</f>
        <v>FY2023 Approved Budget</v>
      </c>
      <c r="D16" s="46" t="str">
        <f>_xlfn.CONCAT(C11, " ", "Expenses")</f>
        <v>FY2023 Expenses</v>
      </c>
      <c r="E16" s="110" t="str">
        <f>_xlfn.CONCAT(C11, " ", "Difference")</f>
        <v>FY2023 Difference</v>
      </c>
      <c r="F16" s="108"/>
    </row>
    <row r="17" spans="1:7">
      <c r="B17" s="42" t="s">
        <v>15</v>
      </c>
      <c r="C17" s="84">
        <f>'Operating Budget'!D6+'Operating Budget'!D13</f>
        <v>0</v>
      </c>
      <c r="D17" s="109">
        <f>'Operating Budget'!E6+'Operating Budget'!E13</f>
        <v>0</v>
      </c>
      <c r="E17" s="111">
        <f>'Operating Budget'!F6+'Operating Budget'!F13</f>
        <v>0</v>
      </c>
      <c r="F17" s="108"/>
    </row>
    <row r="18" spans="1:7">
      <c r="B18" s="42" t="s">
        <v>16</v>
      </c>
      <c r="C18" s="84">
        <f>'Operating Budget'!D7+'Operating Budget'!D14</f>
        <v>0</v>
      </c>
      <c r="D18" s="109">
        <f>'Operating Budget'!E7+'Operating Budget'!E14</f>
        <v>0</v>
      </c>
      <c r="E18" s="111">
        <f>'Operating Budget'!F7+'Operating Budget'!F14</f>
        <v>0</v>
      </c>
      <c r="F18" s="108"/>
    </row>
    <row r="19" spans="1:7">
      <c r="B19" s="42" t="s">
        <v>17</v>
      </c>
      <c r="C19" s="84">
        <f>'Operating Budget'!D8+'Operating Budget'!D15</f>
        <v>2646.9</v>
      </c>
      <c r="D19" s="109">
        <f>'Operating Budget'!E8+'Operating Budget'!E15</f>
        <v>2733.19</v>
      </c>
      <c r="E19" s="111">
        <f>'Operating Budget'!F8+'Operating Budget'!F15</f>
        <v>-86.290000000000049</v>
      </c>
      <c r="F19" s="108"/>
    </row>
    <row r="20" spans="1:7">
      <c r="B20" s="42" t="s">
        <v>18</v>
      </c>
      <c r="C20" s="84">
        <f>'Operating Budget'!D9+'Operating Budget'!D16+'Operating Budget'!D20</f>
        <v>0</v>
      </c>
      <c r="D20" s="109">
        <f>'Operating Budget'!E9+'Operating Budget'!E16+'Operating Budget'!E20</f>
        <v>0</v>
      </c>
      <c r="E20" s="111">
        <f>'Operating Budget'!F9+'Operating Budget'!F16+'Operating Budget'!F20</f>
        <v>0</v>
      </c>
      <c r="F20" s="108"/>
    </row>
    <row r="21" spans="1:7">
      <c r="B21" s="42" t="s">
        <v>19</v>
      </c>
      <c r="C21" s="84">
        <f>'Operating Budget'!D26</f>
        <v>0</v>
      </c>
      <c r="D21" s="109">
        <f>'Operating Budget'!E26</f>
        <v>0</v>
      </c>
      <c r="E21" s="111">
        <f>'Operating Budget'!F26</f>
        <v>0</v>
      </c>
      <c r="F21" s="108"/>
    </row>
    <row r="22" spans="1:7">
      <c r="B22" s="42" t="s">
        <v>20</v>
      </c>
      <c r="C22" s="84">
        <f>'Operating Budget'!D31</f>
        <v>81306</v>
      </c>
      <c r="D22" s="109">
        <f>'Operating Budget'!E31</f>
        <v>81340</v>
      </c>
      <c r="E22" s="111">
        <f>'Operating Budget'!F31</f>
        <v>-34</v>
      </c>
      <c r="F22" s="108"/>
    </row>
    <row r="23" spans="1:7">
      <c r="B23" s="43" t="s">
        <v>21</v>
      </c>
      <c r="C23" s="84">
        <f>'Operating Budget'!D39</f>
        <v>0</v>
      </c>
      <c r="D23" s="109">
        <f>'Operating Budget'!E39</f>
        <v>0</v>
      </c>
      <c r="E23" s="111">
        <f>'Operating Budget'!F39</f>
        <v>0</v>
      </c>
      <c r="F23" s="108"/>
    </row>
    <row r="24" spans="1:7" ht="15.75" thickBot="1">
      <c r="B24" s="44" t="s">
        <v>22</v>
      </c>
      <c r="C24" s="85">
        <f>'Operating Budget'!D47</f>
        <v>1680</v>
      </c>
      <c r="D24" s="112">
        <f>'Operating Budget'!E47</f>
        <v>1626.8</v>
      </c>
      <c r="E24" s="113">
        <f>'Operating Budget'!F47</f>
        <v>53.200000000000045</v>
      </c>
      <c r="F24" s="108"/>
    </row>
    <row r="25" spans="1:7" ht="19.5" thickBot="1">
      <c r="A25" s="7"/>
      <c r="B25" s="114" t="s">
        <v>23</v>
      </c>
      <c r="C25" s="133">
        <f>'Operating Budget'!D52</f>
        <v>85700</v>
      </c>
      <c r="D25" s="133">
        <f t="shared" ref="D25:E25" si="0">SUM(D17:D24)</f>
        <v>85699.99</v>
      </c>
      <c r="E25" s="134">
        <f>C25-D25</f>
        <v>9.9999999947613105E-3</v>
      </c>
      <c r="F25" s="66" t="str">
        <f>'Operating Budget'!H52</f>
        <v xml:space="preserve"> </v>
      </c>
      <c r="G25" s="123" t="str">
        <f>IF(F25="OVER APPROVED BUDGET","You appear to have spent outside of your approved budget. Any deficit in this project account is the responsibility of the department/project to fill, not that of the Campus Sustainability Fund. ", " ")</f>
        <v xml:space="preserve"> </v>
      </c>
    </row>
    <row r="26" spans="1:7" ht="15.75" thickBot="1">
      <c r="B26" s="7"/>
      <c r="C26" s="7"/>
      <c r="D26" s="7"/>
      <c r="E26" s="7"/>
    </row>
    <row r="27" spans="1:7" ht="19.5" thickBot="1">
      <c r="A27" s="7"/>
      <c r="B27" s="145" t="s">
        <v>24</v>
      </c>
      <c r="C27" s="140"/>
      <c r="D27" s="140"/>
      <c r="E27" s="146"/>
      <c r="F27" s="108"/>
    </row>
    <row r="28" spans="1:7">
      <c r="A28" s="7"/>
      <c r="B28" s="118" t="str">
        <f>_xlfn.CONCAT(C11, " ", "Additional Funding Source(s) &amp; Description(s)")</f>
        <v>FY2023 Additional Funding Source(s) &amp; Description(s)</v>
      </c>
      <c r="C28" s="78" t="str">
        <f>_xlfn.CONCAT(C11, " ", "Additional Funding Source(s) Budget")</f>
        <v>FY2023 Additional Funding Source(s) Budget</v>
      </c>
      <c r="D28" s="116" t="str">
        <f>_xlfn.CONCAT(C11, " ", "Additional Funding Expenses")</f>
        <v>FY2023 Additional Funding Expenses</v>
      </c>
      <c r="E28" s="47" t="str">
        <f>_xlfn.CONCAT(C11, " ", "Difference")</f>
        <v>FY2023 Difference</v>
      </c>
      <c r="F28" s="115"/>
    </row>
    <row r="29" spans="1:7">
      <c r="A29" s="7"/>
      <c r="B29" s="119" t="s">
        <v>25</v>
      </c>
      <c r="C29" s="135">
        <v>70000</v>
      </c>
      <c r="D29" s="121"/>
      <c r="E29" s="53">
        <f>C29-D29</f>
        <v>70000</v>
      </c>
      <c r="F29" s="108"/>
    </row>
    <row r="30" spans="1:7">
      <c r="A30" s="7"/>
      <c r="B30" s="119" t="s">
        <v>26</v>
      </c>
      <c r="C30" s="122">
        <v>6096.11</v>
      </c>
      <c r="D30" s="121"/>
      <c r="E30" s="53" t="e">
        <f t="shared" ref="E30:E33" si="1">B30-D30</f>
        <v>#VALUE!</v>
      </c>
      <c r="F30" s="108"/>
    </row>
    <row r="31" spans="1:7" ht="30">
      <c r="A31" s="7"/>
      <c r="B31" s="137" t="s">
        <v>27</v>
      </c>
      <c r="C31" s="122">
        <v>4224.03</v>
      </c>
      <c r="D31" s="121"/>
      <c r="E31" s="53" t="e">
        <f t="shared" si="1"/>
        <v>#VALUE!</v>
      </c>
      <c r="F31" s="108"/>
    </row>
    <row r="32" spans="1:7">
      <c r="A32" s="7"/>
      <c r="B32" s="119" t="s">
        <v>28</v>
      </c>
      <c r="C32" s="122">
        <v>1476.69</v>
      </c>
      <c r="D32" s="121"/>
      <c r="E32" s="53" t="e">
        <f t="shared" si="1"/>
        <v>#VALUE!</v>
      </c>
      <c r="F32" s="108"/>
    </row>
    <row r="33" spans="1:7">
      <c r="A33" s="7"/>
      <c r="B33" s="119" t="s">
        <v>29</v>
      </c>
      <c r="C33" s="122">
        <v>18595.66</v>
      </c>
      <c r="D33" s="121"/>
      <c r="E33" s="53" t="e">
        <f t="shared" si="1"/>
        <v>#VALUE!</v>
      </c>
      <c r="F33" s="108"/>
    </row>
    <row r="34" spans="1:7" ht="19.5" thickBot="1">
      <c r="A34" s="7"/>
      <c r="B34" s="120" t="s">
        <v>30</v>
      </c>
      <c r="C34" s="117">
        <f>SUM(C29:C33)</f>
        <v>100392.49</v>
      </c>
      <c r="D34" s="104">
        <f>SUM(D29:D33)</f>
        <v>0</v>
      </c>
      <c r="E34" s="105" t="e">
        <f t="shared" ref="D34:E34" si="2">SUM(E29:E33)</f>
        <v>#VALUE!</v>
      </c>
      <c r="F34" s="108"/>
    </row>
    <row r="35" spans="1:7" ht="19.5" thickBot="1">
      <c r="B35" s="103"/>
      <c r="C35" s="106"/>
      <c r="D35" s="106"/>
      <c r="E35" s="106"/>
    </row>
    <row r="36" spans="1:7">
      <c r="B36" s="149" t="s">
        <v>31</v>
      </c>
      <c r="C36" s="126" t="str">
        <f>_xlfn.CONCAT(C11, " ", "Approved Project Budget")</f>
        <v>FY2023 Approved Project Budget</v>
      </c>
      <c r="D36" s="126" t="str">
        <f>_xlfn.CONCAT(C11," ","Expenses")</f>
        <v>FY2023 Expenses</v>
      </c>
      <c r="E36" s="129"/>
    </row>
    <row r="37" spans="1:7" s="7" customFormat="1" ht="15.75" thickBot="1">
      <c r="B37" s="150"/>
      <c r="C37" s="63">
        <f>SUM(C34,C25)</f>
        <v>186092.49</v>
      </c>
      <c r="D37" s="63">
        <f>D25+D34</f>
        <v>85699.99</v>
      </c>
      <c r="E37" s="130"/>
      <c r="F37" s="108"/>
    </row>
    <row r="38" spans="1:7" s="7" customFormat="1" ht="19.5" thickBot="1">
      <c r="B38" s="103"/>
      <c r="C38" s="107"/>
      <c r="D38" s="107"/>
      <c r="E38" s="107"/>
      <c r="F38" s="108"/>
    </row>
    <row r="39" spans="1:7" s="7" customFormat="1" ht="30">
      <c r="B39" s="149" t="s">
        <v>32</v>
      </c>
      <c r="C39" s="131" t="str">
        <f>_xlfn.CONCAT(C14, " ", "Approved Anticipated Percentage of Funds Provided by the CSF")</f>
        <v xml:space="preserve"> Approved Anticipated Percentage of Funds Provided by the CSF</v>
      </c>
      <c r="D39" s="132" t="str">
        <f>_xlfn.CONCAT(C14, " ", "Actual Percentage of Funds Provided by the CSF")</f>
        <v xml:space="preserve"> Actual Percentage of Funds Provided by the CSF</v>
      </c>
      <c r="E39" s="47" t="str">
        <f>_xlfn.CONCAT(C14, " ", "Difference")</f>
        <v xml:space="preserve"> Difference</v>
      </c>
      <c r="F39" s="108"/>
    </row>
    <row r="40" spans="1:7" s="7" customFormat="1" ht="60.75">
      <c r="B40" s="150"/>
      <c r="C40" s="127">
        <f>C25/C37</f>
        <v>0.46052368905376034</v>
      </c>
      <c r="D40" s="127">
        <f>D25/D37</f>
        <v>1</v>
      </c>
      <c r="E40" s="128">
        <f>C40-D40</f>
        <v>-0.53947631094623971</v>
      </c>
      <c r="F40" s="66"/>
      <c r="G40" s="123" t="str">
        <f>IF(F40="Additional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30:E33 B29 D29:E29" name="Additional Funding Sources Summary"/>
  </protectedRanges>
  <mergeCells count="6">
    <mergeCell ref="B15:E15"/>
    <mergeCell ref="B2:G2"/>
    <mergeCell ref="B27:E27"/>
    <mergeCell ref="B4:C4"/>
    <mergeCell ref="B39:B40"/>
    <mergeCell ref="B36:B37"/>
  </mergeCells>
  <conditionalFormatting sqref="F25">
    <cfRule type="containsText" dxfId="10" priority="3" operator="containsText" text="OVER BUDGET">
      <formula>NOT(ISERROR(SEARCH("OVER BUDGET",F25)))</formula>
    </cfRule>
  </conditionalFormatting>
  <conditionalFormatting sqref="F40">
    <cfRule type="containsText" dxfId="9" priority="2" operator="containsText" text="OVER BUDGET">
      <formula>NOT(ISERROR(SEARCH("OVER BUDGET",F40)))</formula>
    </cfRule>
  </conditionalFormatting>
  <conditionalFormatting sqref="B41:G1048576 C40:G40 B38:G39 C37:G37 B1:G36">
    <cfRule type="cellIs" dxfId="8"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zoomScale="110" zoomScaleNormal="110" workbookViewId="0">
      <selection activeCell="H10" sqref="H10"/>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6" customWidth="1"/>
    <col min="8" max="8" width="22.375" style="56" customWidth="1"/>
    <col min="9" max="9" width="63.875" style="1" customWidth="1"/>
    <col min="10" max="25" width="7.625" style="1" customWidth="1"/>
    <col min="26" max="16384" width="12.625" style="1"/>
  </cols>
  <sheetData>
    <row r="1" spans="1:9" ht="15.75" thickBot="1"/>
    <row r="2" spans="1:9" ht="27" thickBot="1">
      <c r="B2" s="142" t="str">
        <f>_xlfn.CONCAT("Campus Sustainability Fund - Approved Operating Budget for", " ",'Project Information Summary'!C5)</f>
        <v>Campus Sustainability Fund - Approved Operating Budget for Feeding the Future</v>
      </c>
      <c r="C2" s="143"/>
      <c r="D2" s="143"/>
      <c r="E2" s="143"/>
      <c r="F2" s="143"/>
      <c r="G2" s="144"/>
    </row>
    <row r="3" spans="1:9" ht="15.75" thickBot="1">
      <c r="B3" s="3"/>
      <c r="C3" s="4"/>
      <c r="D3" s="4"/>
      <c r="E3" s="4"/>
      <c r="F3" s="4"/>
      <c r="G3" s="88"/>
    </row>
    <row r="4" spans="1:9" ht="19.5" thickBot="1">
      <c r="B4" s="161" t="s">
        <v>33</v>
      </c>
      <c r="C4" s="162"/>
      <c r="D4" s="162"/>
      <c r="E4" s="162"/>
      <c r="F4" s="162"/>
      <c r="G4" s="163"/>
    </row>
    <row r="5" spans="1:9">
      <c r="A5" s="7"/>
      <c r="B5" s="5" t="s">
        <v>34</v>
      </c>
      <c r="C5" s="6" t="s">
        <v>35</v>
      </c>
      <c r="D5" s="45" t="str">
        <f>'Project Information Summary'!C16</f>
        <v>FY2023 Approved Budget</v>
      </c>
      <c r="E5" s="46" t="str">
        <f>'Project Information Summary'!D16</f>
        <v>FY2023 Expenses</v>
      </c>
      <c r="F5" s="47" t="str">
        <f>'Project Information Summary'!E16</f>
        <v>FY2023 Difference</v>
      </c>
      <c r="G5" s="89" t="s">
        <v>36</v>
      </c>
    </row>
    <row r="6" spans="1:9" ht="15" customHeight="1">
      <c r="B6" s="8" t="s">
        <v>37</v>
      </c>
      <c r="C6" s="79" t="s">
        <v>38</v>
      </c>
      <c r="D6" s="51"/>
      <c r="E6" s="68"/>
      <c r="F6" s="37">
        <f t="shared" ref="F6:F10" si="0">D6-E6</f>
        <v>0</v>
      </c>
      <c r="G6" s="90"/>
      <c r="H6" s="66"/>
      <c r="I6" s="57"/>
    </row>
    <row r="7" spans="1:9">
      <c r="B7" s="8" t="s">
        <v>37</v>
      </c>
      <c r="C7" s="79" t="s">
        <v>39</v>
      </c>
      <c r="D7" s="51"/>
      <c r="E7" s="68"/>
      <c r="F7" s="37">
        <f t="shared" si="0"/>
        <v>0</v>
      </c>
      <c r="G7" s="90"/>
      <c r="H7" s="66"/>
      <c r="I7" s="57"/>
    </row>
    <row r="8" spans="1:9">
      <c r="B8" s="8" t="s">
        <v>37</v>
      </c>
      <c r="C8" s="79" t="s">
        <v>40</v>
      </c>
      <c r="D8" s="51">
        <v>2595</v>
      </c>
      <c r="E8" s="68">
        <v>2733.19</v>
      </c>
      <c r="F8" s="37">
        <f t="shared" si="0"/>
        <v>-138.19000000000005</v>
      </c>
      <c r="G8" s="90"/>
      <c r="H8" s="66"/>
      <c r="I8" s="57"/>
    </row>
    <row r="9" spans="1:9" ht="15.75" thickBot="1">
      <c r="B9" s="10" t="s">
        <v>37</v>
      </c>
      <c r="C9" s="80" t="s">
        <v>41</v>
      </c>
      <c r="D9" s="52"/>
      <c r="E9" s="69"/>
      <c r="F9" s="38">
        <f t="shared" si="0"/>
        <v>0</v>
      </c>
      <c r="G9" s="90"/>
      <c r="H9" s="66"/>
      <c r="I9" s="57"/>
    </row>
    <row r="10" spans="1:9" ht="45.75">
      <c r="B10" s="164" t="s">
        <v>42</v>
      </c>
      <c r="C10" s="174"/>
      <c r="D10" s="12">
        <f>SUM(D6:D9)</f>
        <v>2595</v>
      </c>
      <c r="E10" s="13">
        <f>SUM(E6:E9)</f>
        <v>2733.19</v>
      </c>
      <c r="F10" s="81">
        <f>D10-E10</f>
        <v>-138.19000000000005</v>
      </c>
      <c r="G10" s="91"/>
      <c r="H10" s="66"/>
      <c r="I10" s="123"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92"/>
      <c r="H11" s="66"/>
      <c r="I11" s="57"/>
    </row>
    <row r="12" spans="1:9">
      <c r="A12" s="7"/>
      <c r="B12" s="5" t="s">
        <v>34</v>
      </c>
      <c r="C12" s="6" t="s">
        <v>35</v>
      </c>
      <c r="D12" s="16" t="str">
        <f>$D$5</f>
        <v>FY2023 Approved Budget</v>
      </c>
      <c r="E12" s="2" t="str">
        <f>$E$5</f>
        <v>FY2023 Expenses</v>
      </c>
      <c r="F12" s="17" t="str">
        <f>$F$5</f>
        <v>FY2023 Difference</v>
      </c>
      <c r="G12" s="89" t="s">
        <v>36</v>
      </c>
      <c r="H12" s="66"/>
      <c r="I12" s="57"/>
    </row>
    <row r="13" spans="1:9">
      <c r="B13" s="8" t="s">
        <v>43</v>
      </c>
      <c r="C13" s="9" t="s">
        <v>44</v>
      </c>
      <c r="D13" s="70"/>
      <c r="E13" s="71"/>
      <c r="F13" s="37">
        <f t="shared" ref="F13:F17" si="1">D13-E13</f>
        <v>0</v>
      </c>
      <c r="G13" s="90"/>
      <c r="H13" s="66"/>
      <c r="I13" s="57"/>
    </row>
    <row r="14" spans="1:9">
      <c r="B14" s="8" t="s">
        <v>43</v>
      </c>
      <c r="C14" s="9" t="s">
        <v>45</v>
      </c>
      <c r="D14" s="70"/>
      <c r="E14" s="71"/>
      <c r="F14" s="37">
        <f t="shared" si="1"/>
        <v>0</v>
      </c>
      <c r="G14" s="90"/>
      <c r="H14" s="66"/>
      <c r="I14" s="57"/>
    </row>
    <row r="15" spans="1:9">
      <c r="B15" s="8" t="s">
        <v>43</v>
      </c>
      <c r="C15" s="9" t="s">
        <v>46</v>
      </c>
      <c r="D15" s="138">
        <v>51.9</v>
      </c>
      <c r="E15" s="71"/>
      <c r="F15" s="37">
        <f t="shared" si="1"/>
        <v>51.9</v>
      </c>
      <c r="G15" s="90"/>
      <c r="H15" s="66"/>
      <c r="I15" s="57"/>
    </row>
    <row r="16" spans="1:9" ht="15.75" thickBot="1">
      <c r="B16" s="10" t="s">
        <v>43</v>
      </c>
      <c r="C16" s="11" t="s">
        <v>47</v>
      </c>
      <c r="D16" s="72"/>
      <c r="E16" s="73"/>
      <c r="F16" s="38">
        <f t="shared" si="1"/>
        <v>0</v>
      </c>
      <c r="G16" s="90"/>
      <c r="H16" s="66"/>
      <c r="I16" s="57"/>
    </row>
    <row r="17" spans="1:9" ht="20.25" thickTop="1" thickBot="1">
      <c r="B17" s="164" t="s">
        <v>48</v>
      </c>
      <c r="C17" s="165"/>
      <c r="D17" s="18">
        <f>SUM(D13:D16)</f>
        <v>51.9</v>
      </c>
      <c r="E17" s="19">
        <f t="shared" ref="E17" si="2">SUM(E13:E16)</f>
        <v>0</v>
      </c>
      <c r="F17" s="50">
        <f>D17-E17</f>
        <v>51.9</v>
      </c>
      <c r="G17" s="93"/>
      <c r="H17" s="66" t="str">
        <f t="shared" ref="H17" si="3">IF(F17&lt;0,"OVER APPROVED BUDGET"," ")</f>
        <v xml:space="preserve"> </v>
      </c>
      <c r="I17" s="123"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92"/>
      <c r="H18" s="66"/>
      <c r="I18" s="57"/>
    </row>
    <row r="19" spans="1:9">
      <c r="A19" s="7"/>
      <c r="B19" s="5" t="s">
        <v>34</v>
      </c>
      <c r="C19" s="6" t="s">
        <v>35</v>
      </c>
      <c r="D19" s="45" t="str">
        <f>$D$5</f>
        <v>FY2023 Approved Budget</v>
      </c>
      <c r="E19" s="46" t="str">
        <f>$E$5</f>
        <v>FY2023 Expenses</v>
      </c>
      <c r="F19" s="47" t="str">
        <f>$F$5</f>
        <v>FY2023 Difference</v>
      </c>
      <c r="G19" s="89" t="s">
        <v>36</v>
      </c>
      <c r="H19" s="66"/>
      <c r="I19" s="57"/>
    </row>
    <row r="20" spans="1:9" ht="15.75" thickBot="1">
      <c r="B20" s="21" t="s">
        <v>49</v>
      </c>
      <c r="C20" s="22" t="s">
        <v>49</v>
      </c>
      <c r="D20" s="72"/>
      <c r="E20" s="73"/>
      <c r="F20" s="38">
        <f t="shared" ref="F20:F21" si="4">D20-E20</f>
        <v>0</v>
      </c>
      <c r="G20" s="90"/>
      <c r="H20" s="66"/>
      <c r="I20" s="57"/>
    </row>
    <row r="21" spans="1:9" ht="19.5" thickBot="1">
      <c r="B21" s="156" t="s">
        <v>50</v>
      </c>
      <c r="C21" s="157"/>
      <c r="D21" s="12">
        <f>D20</f>
        <v>0</v>
      </c>
      <c r="E21" s="13">
        <f t="shared" ref="E21" si="5">E20</f>
        <v>0</v>
      </c>
      <c r="F21" s="81">
        <f t="shared" si="4"/>
        <v>0</v>
      </c>
      <c r="G21" s="93"/>
      <c r="H21" s="66" t="str">
        <f t="shared" ref="H21" si="6">IF(F21&lt;0,"OVER APPROVED BUDGET"," ")</f>
        <v xml:space="preserve"> </v>
      </c>
      <c r="I21" s="57"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4"/>
      <c r="H22" s="66" t="str">
        <f t="shared" ref="H22:H43" si="7">IF(F22&lt;0,"OVER APPROVED BUDGET"," ")</f>
        <v xml:space="preserve"> </v>
      </c>
      <c r="I22" s="57" t="str">
        <f t="shared" ref="I22:I24" si="8">IF(H22="OVER APPROVED BUDGET","You have spent outside of your approved budget. You will either need to submit a Project Alteration Request or use departmental funds to cover the difference.", " ")</f>
        <v xml:space="preserve"> </v>
      </c>
    </row>
    <row r="23" spans="1:9" ht="19.5" thickBot="1">
      <c r="B23" s="161" t="s">
        <v>51</v>
      </c>
      <c r="C23" s="162"/>
      <c r="D23" s="162"/>
      <c r="E23" s="162"/>
      <c r="F23" s="162"/>
      <c r="G23" s="163"/>
      <c r="H23" s="66" t="str">
        <f t="shared" si="7"/>
        <v xml:space="preserve"> </v>
      </c>
      <c r="I23" s="57" t="str">
        <f t="shared" si="8"/>
        <v xml:space="preserve"> </v>
      </c>
    </row>
    <row r="24" spans="1:9">
      <c r="A24" s="7"/>
      <c r="B24" s="5" t="s">
        <v>52</v>
      </c>
      <c r="C24" s="58" t="s">
        <v>35</v>
      </c>
      <c r="D24" s="45" t="str">
        <f>$D$5</f>
        <v>FY2023 Approved Budget</v>
      </c>
      <c r="E24" s="46" t="str">
        <f>$E$5</f>
        <v>FY2023 Expenses</v>
      </c>
      <c r="F24" s="47" t="str">
        <f>$F$5</f>
        <v>FY2023 Difference</v>
      </c>
      <c r="G24" s="89" t="s">
        <v>36</v>
      </c>
      <c r="H24" s="66" t="str">
        <f t="shared" si="7"/>
        <v xml:space="preserve"> </v>
      </c>
      <c r="I24" s="57" t="str">
        <f t="shared" si="8"/>
        <v xml:space="preserve"> </v>
      </c>
    </row>
    <row r="25" spans="1:9" ht="15.75" thickBot="1">
      <c r="B25" s="8" t="s">
        <v>53</v>
      </c>
      <c r="C25" s="9"/>
      <c r="D25" s="82"/>
      <c r="E25" s="68"/>
      <c r="F25" s="53">
        <f t="shared" ref="F25" si="9">D25-E25</f>
        <v>0</v>
      </c>
      <c r="G25" s="90"/>
      <c r="H25" s="66"/>
      <c r="I25" s="57"/>
    </row>
    <row r="26" spans="1:9" ht="20.25" thickTop="1" thickBot="1">
      <c r="B26" s="156" t="s">
        <v>54</v>
      </c>
      <c r="C26" s="173"/>
      <c r="D26" s="18">
        <f>SUM(D25:D25)</f>
        <v>0</v>
      </c>
      <c r="E26" s="19">
        <f>SUM(E25:E25)</f>
        <v>0</v>
      </c>
      <c r="F26" s="20">
        <f>SUM(F25:F25)</f>
        <v>0</v>
      </c>
      <c r="G26" s="93"/>
      <c r="H26" s="66" t="str">
        <f t="shared" si="7"/>
        <v xml:space="preserve"> </v>
      </c>
      <c r="I26" s="123"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4"/>
      <c r="H27" s="66"/>
      <c r="I27" s="57"/>
    </row>
    <row r="28" spans="1:9" ht="19.5" thickBot="1">
      <c r="B28" s="161" t="s">
        <v>55</v>
      </c>
      <c r="C28" s="162"/>
      <c r="D28" s="162"/>
      <c r="E28" s="162"/>
      <c r="F28" s="162"/>
      <c r="G28" s="163"/>
      <c r="H28" s="66"/>
      <c r="I28" s="57"/>
    </row>
    <row r="29" spans="1:9">
      <c r="A29" s="7"/>
      <c r="B29" s="5" t="s">
        <v>56</v>
      </c>
      <c r="C29" s="6" t="s">
        <v>35</v>
      </c>
      <c r="D29" s="45" t="str">
        <f>$D$5</f>
        <v>FY2023 Approved Budget</v>
      </c>
      <c r="E29" s="46" t="str">
        <f>$E$5</f>
        <v>FY2023 Expenses</v>
      </c>
      <c r="F29" s="47" t="str">
        <f>$F$5</f>
        <v>FY2023 Difference</v>
      </c>
      <c r="G29" s="89" t="s">
        <v>36</v>
      </c>
      <c r="H29" s="66"/>
      <c r="I29" s="57"/>
    </row>
    <row r="30" spans="1:9" ht="15.75" thickBot="1">
      <c r="B30" s="8" t="s">
        <v>55</v>
      </c>
      <c r="C30" s="9"/>
      <c r="D30" s="136">
        <v>81306</v>
      </c>
      <c r="E30" s="68">
        <v>81340</v>
      </c>
      <c r="F30" s="53">
        <f t="shared" ref="F30" si="10">D30-E30</f>
        <v>-34</v>
      </c>
      <c r="G30" s="95"/>
      <c r="H30" s="66"/>
      <c r="I30" s="57"/>
    </row>
    <row r="31" spans="1:9" ht="61.5" thickTop="1" thickBot="1">
      <c r="B31" s="164" t="s">
        <v>57</v>
      </c>
      <c r="C31" s="165"/>
      <c r="D31" s="18">
        <f>SUM(D30:D30)</f>
        <v>81306</v>
      </c>
      <c r="E31" s="19">
        <f>SUM(E30:E30)</f>
        <v>81340</v>
      </c>
      <c r="F31" s="20">
        <f>D31-E31</f>
        <v>-34</v>
      </c>
      <c r="G31" s="93"/>
      <c r="H31" s="66"/>
      <c r="I31" s="123"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92"/>
      <c r="H32" s="66"/>
      <c r="I32" s="57"/>
    </row>
    <row r="33" spans="1:9" ht="19.5" thickBot="1">
      <c r="B33" s="161" t="s">
        <v>58</v>
      </c>
      <c r="C33" s="162"/>
      <c r="D33" s="162"/>
      <c r="E33" s="162"/>
      <c r="F33" s="162"/>
      <c r="G33" s="163"/>
      <c r="H33" s="66"/>
      <c r="I33" s="57"/>
    </row>
    <row r="34" spans="1:9">
      <c r="A34" s="7"/>
      <c r="B34" s="5" t="s">
        <v>56</v>
      </c>
      <c r="C34" s="6" t="s">
        <v>35</v>
      </c>
      <c r="D34" s="45" t="str">
        <f>$D$5</f>
        <v>FY2023 Approved Budget</v>
      </c>
      <c r="E34" s="46" t="str">
        <f>$E$5</f>
        <v>FY2023 Expenses</v>
      </c>
      <c r="F34" s="47" t="str">
        <f>$F$5</f>
        <v>FY2023 Difference</v>
      </c>
      <c r="G34" s="89" t="s">
        <v>36</v>
      </c>
      <c r="H34" s="66"/>
      <c r="I34" s="57"/>
    </row>
    <row r="35" spans="1:9">
      <c r="B35" s="8" t="s">
        <v>59</v>
      </c>
      <c r="C35" s="74"/>
      <c r="D35" s="51"/>
      <c r="E35" s="68"/>
      <c r="F35" s="53">
        <f t="shared" ref="F35" si="11">D35-E35</f>
        <v>0</v>
      </c>
      <c r="G35" s="96"/>
      <c r="H35" s="66"/>
      <c r="I35" s="57"/>
    </row>
    <row r="36" spans="1:9">
      <c r="B36" s="8" t="s">
        <v>60</v>
      </c>
      <c r="C36" s="74"/>
      <c r="D36" s="51"/>
      <c r="E36" s="68"/>
      <c r="F36" s="53">
        <f t="shared" ref="F36:F37" si="12">D36-E36</f>
        <v>0</v>
      </c>
      <c r="G36" s="96"/>
      <c r="H36" s="66"/>
      <c r="I36" s="57"/>
    </row>
    <row r="37" spans="1:9">
      <c r="B37" s="49" t="s">
        <v>61</v>
      </c>
      <c r="C37" s="75"/>
      <c r="D37" s="55"/>
      <c r="E37" s="76"/>
      <c r="F37" s="53">
        <f t="shared" si="12"/>
        <v>0</v>
      </c>
      <c r="G37" s="96"/>
      <c r="H37" s="66"/>
      <c r="I37" s="57"/>
    </row>
    <row r="38" spans="1:9" ht="15.75" thickBot="1">
      <c r="B38" s="10" t="s">
        <v>62</v>
      </c>
      <c r="C38" s="77"/>
      <c r="D38" s="52"/>
      <c r="E38" s="69"/>
      <c r="F38" s="54">
        <f>D38-E38</f>
        <v>0</v>
      </c>
      <c r="G38" s="96"/>
      <c r="H38" s="66"/>
      <c r="I38" s="57"/>
    </row>
    <row r="39" spans="1:9" ht="20.25" thickTop="1" thickBot="1">
      <c r="B39" s="156" t="s">
        <v>63</v>
      </c>
      <c r="C39" s="157"/>
      <c r="D39" s="18">
        <f>SUM(D35:D38)</f>
        <v>0</v>
      </c>
      <c r="E39" s="19">
        <f>SUM(E35:E38)</f>
        <v>0</v>
      </c>
      <c r="F39" s="20">
        <f>D39-E39</f>
        <v>0</v>
      </c>
      <c r="G39" s="93"/>
      <c r="H39" s="66" t="str">
        <f t="shared" ref="H39" si="13">IF(F39&lt;0,"OVER APPROVED BUDGET"," ")</f>
        <v xml:space="preserve"> </v>
      </c>
      <c r="I39" s="123"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4"/>
      <c r="H40" s="66"/>
      <c r="I40" s="57"/>
    </row>
    <row r="41" spans="1:9" ht="19.5" thickBot="1">
      <c r="B41" s="166" t="s">
        <v>64</v>
      </c>
      <c r="C41" s="167"/>
      <c r="D41" s="167"/>
      <c r="E41" s="167"/>
      <c r="F41" s="167"/>
      <c r="G41" s="168"/>
      <c r="H41" s="66"/>
      <c r="I41" s="57"/>
    </row>
    <row r="42" spans="1:9">
      <c r="A42" s="7"/>
      <c r="B42" s="14"/>
      <c r="C42" s="15"/>
      <c r="D42" s="45" t="str">
        <f>$D$5</f>
        <v>FY2023 Approved Budget</v>
      </c>
      <c r="E42" s="46" t="str">
        <f>$E$5</f>
        <v>FY2023 Expenses</v>
      </c>
      <c r="F42" s="47" t="str">
        <f>$F$5</f>
        <v>FY2023 Difference</v>
      </c>
      <c r="G42" s="89" t="s">
        <v>36</v>
      </c>
      <c r="H42" s="66"/>
      <c r="I42" s="57"/>
    </row>
    <row r="43" spans="1:9" ht="45.75">
      <c r="B43" s="164" t="s">
        <v>65</v>
      </c>
      <c r="C43" s="165"/>
      <c r="D43" s="35">
        <f>SUM(D10,D17,D21,D26,D31,D39,)</f>
        <v>83952.9</v>
      </c>
      <c r="E43" s="36">
        <f>SUM(E10,E17,E21,E26,E31,E39,)</f>
        <v>84073.19</v>
      </c>
      <c r="F43" s="62">
        <f>D43-E43</f>
        <v>-120.29000000000815</v>
      </c>
      <c r="G43" s="93"/>
      <c r="H43" s="66"/>
      <c r="I43" s="123"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3"/>
      <c r="C44" s="24"/>
      <c r="D44" s="25"/>
      <c r="E44" s="25"/>
      <c r="F44" s="25"/>
      <c r="G44" s="97"/>
      <c r="H44" s="66"/>
      <c r="I44" s="57"/>
    </row>
    <row r="45" spans="1:9" ht="19.5" thickBot="1">
      <c r="B45" s="158" t="s">
        <v>66</v>
      </c>
      <c r="C45" s="159"/>
      <c r="D45" s="159"/>
      <c r="E45" s="159"/>
      <c r="F45" s="159"/>
      <c r="G45" s="160"/>
      <c r="H45" s="66"/>
      <c r="I45" s="57"/>
    </row>
    <row r="46" spans="1:9">
      <c r="A46" s="7"/>
      <c r="B46" s="5" t="s">
        <v>56</v>
      </c>
      <c r="C46" s="6" t="s">
        <v>35</v>
      </c>
      <c r="D46" s="45" t="str">
        <f>$D$5</f>
        <v>FY2023 Approved Budget</v>
      </c>
      <c r="E46" s="46" t="str">
        <f>$E$5</f>
        <v>FY2023 Expenses</v>
      </c>
      <c r="F46" s="47" t="str">
        <f>$F$5</f>
        <v>FY2023 Difference</v>
      </c>
      <c r="G46" s="89" t="s">
        <v>36</v>
      </c>
      <c r="H46" s="66"/>
      <c r="I46" s="57"/>
    </row>
    <row r="47" spans="1:9" ht="15.75" thickBot="1">
      <c r="B47" s="10" t="s">
        <v>66</v>
      </c>
      <c r="C47" s="11" t="s">
        <v>67</v>
      </c>
      <c r="D47" s="59">
        <f>ROUNDUP(D43*0.02,-1)</f>
        <v>1680</v>
      </c>
      <c r="E47" s="63">
        <v>1626.8</v>
      </c>
      <c r="F47" s="62">
        <f>D47-E47</f>
        <v>53.200000000000045</v>
      </c>
      <c r="G47" s="98"/>
      <c r="H47" s="66"/>
      <c r="I47" s="57"/>
    </row>
    <row r="48" spans="1:9">
      <c r="B48" s="14"/>
      <c r="C48" s="15"/>
      <c r="D48" s="28"/>
      <c r="E48" s="28"/>
      <c r="F48" s="28"/>
      <c r="G48" s="99"/>
      <c r="H48" s="66"/>
      <c r="I48" s="57"/>
    </row>
    <row r="49" spans="1:9" ht="15.75" thickBot="1">
      <c r="B49" s="29"/>
      <c r="C49" s="25"/>
      <c r="D49" s="25"/>
      <c r="E49" s="25"/>
      <c r="F49" s="25"/>
      <c r="G49" s="94"/>
      <c r="H49" s="66"/>
      <c r="I49" s="57"/>
    </row>
    <row r="50" spans="1:9" s="31" customFormat="1" ht="27" thickBot="1">
      <c r="A50" s="30"/>
      <c r="B50" s="169" t="str">
        <f>_xlfn.CONCAT('Project Information Summary'!C11, " ", "Budget Summary")</f>
        <v>FY2023 Budget Summary</v>
      </c>
      <c r="C50" s="170"/>
      <c r="D50" s="171"/>
      <c r="E50" s="171"/>
      <c r="F50" s="171"/>
      <c r="G50" s="172"/>
      <c r="H50" s="66"/>
      <c r="I50" s="57"/>
    </row>
    <row r="51" spans="1:9">
      <c r="B51" s="14"/>
      <c r="C51" s="15"/>
      <c r="D51" s="45" t="str">
        <f>$D$5</f>
        <v>FY2023 Approved Budget</v>
      </c>
      <c r="E51" s="46" t="str">
        <f>$E$5</f>
        <v>FY2023 Expenses</v>
      </c>
      <c r="F51" s="47" t="str">
        <f>$F$5</f>
        <v>FY2023 Difference</v>
      </c>
      <c r="G51" s="89" t="s">
        <v>36</v>
      </c>
      <c r="H51" s="66"/>
      <c r="I51" s="57"/>
    </row>
    <row r="52" spans="1:9" ht="27" thickBot="1">
      <c r="B52" s="151" t="s">
        <v>68</v>
      </c>
      <c r="C52" s="152"/>
      <c r="D52" s="60">
        <f>ROUNDUP(D43+D47,-2)</f>
        <v>85700</v>
      </c>
      <c r="E52" s="36">
        <f>E43+E47</f>
        <v>85699.99</v>
      </c>
      <c r="F52" s="61">
        <f>D52-E52</f>
        <v>9.9999999947613105E-3</v>
      </c>
      <c r="G52" s="93"/>
      <c r="H52" s="66" t="str">
        <f t="shared" ref="H52" si="14">IF(F52&lt;0,"OVER APPROVED BUDGET"," ")</f>
        <v xml:space="preserve"> </v>
      </c>
      <c r="I52" s="123" t="str">
        <f>IF(H52="OVER APPROVED BUDGET","You appear to have spent outside of your approved budget. Any deficit in this project account is the responsibility of the department/project to fill, not that of the Campus Sustainability Fund. ", " ")</f>
        <v xml:space="preserve"> </v>
      </c>
    </row>
    <row r="53" spans="1:9">
      <c r="B53" s="14"/>
      <c r="C53" s="15"/>
      <c r="D53" s="28"/>
      <c r="E53" s="28"/>
      <c r="F53" s="28"/>
      <c r="G53" s="99"/>
      <c r="H53" s="66"/>
      <c r="I53" s="57"/>
    </row>
    <row r="54" spans="1:9" ht="15.75" thickBot="1">
      <c r="B54" s="29"/>
      <c r="C54" s="25"/>
      <c r="D54" s="25"/>
      <c r="E54" s="25"/>
      <c r="F54" s="25"/>
      <c r="G54" s="94"/>
      <c r="H54" s="66"/>
      <c r="I54" s="57"/>
    </row>
    <row r="55" spans="1:9" ht="27" thickBot="1">
      <c r="B55" s="169" t="s">
        <v>69</v>
      </c>
      <c r="C55" s="170"/>
      <c r="D55" s="170"/>
      <c r="E55" s="170"/>
      <c r="F55" s="170"/>
      <c r="G55" s="172"/>
      <c r="H55" s="66"/>
      <c r="I55" s="57"/>
    </row>
    <row r="56" spans="1:9">
      <c r="B56" s="14"/>
      <c r="C56" s="15"/>
      <c r="D56" s="153" t="str">
        <f>'Project Information Summary'!C11</f>
        <v>FY2023</v>
      </c>
      <c r="E56" s="154"/>
      <c r="F56" s="155"/>
      <c r="G56" s="100" t="s">
        <v>36</v>
      </c>
      <c r="H56" s="66"/>
      <c r="I56" s="57"/>
    </row>
    <row r="57" spans="1:9" ht="27" thickBot="1">
      <c r="B57" s="151" t="s">
        <v>70</v>
      </c>
      <c r="C57" s="152"/>
      <c r="D57" s="65"/>
      <c r="E57" s="64">
        <f>IF(F52&lt;0,0,F52)</f>
        <v>9.9999999947613105E-3</v>
      </c>
      <c r="F57" s="83"/>
      <c r="G57" s="101"/>
      <c r="H57" s="66" t="str">
        <f>IF(E57&gt;F52,"OVER APPROVED BUDGET"," ")</f>
        <v xml:space="preserve"> </v>
      </c>
      <c r="I57" s="123" t="str">
        <f>IF(H57="OVER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8" spans="1:9" ht="30" customHeight="1">
      <c r="B58" s="32"/>
      <c r="C58" s="33"/>
      <c r="D58" s="34"/>
      <c r="E58" s="34"/>
      <c r="F58" s="34"/>
      <c r="G58" s="102"/>
      <c r="H58" s="67" t="str">
        <f>IF(E57=F52,"UNDER APPROVED BUDGET"," ")</f>
        <v>UNDER APPROVED BUDGET</v>
      </c>
      <c r="I58" s="123" t="str">
        <f>IF(H58="UNDER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9" spans="1:9">
      <c r="B59" s="32"/>
      <c r="C59" s="33"/>
      <c r="D59" s="34"/>
      <c r="E59" s="34"/>
      <c r="F59" s="34"/>
      <c r="G59" s="102"/>
    </row>
    <row r="60" spans="1:9">
      <c r="B60" s="32"/>
      <c r="C60" s="33"/>
      <c r="D60" s="34"/>
      <c r="E60" s="34"/>
      <c r="F60" s="34"/>
      <c r="G60" s="102"/>
    </row>
    <row r="61" spans="1:9">
      <c r="B61" s="32"/>
      <c r="C61" s="33"/>
      <c r="D61" s="34"/>
      <c r="E61" s="34"/>
      <c r="F61" s="34"/>
      <c r="G61" s="102"/>
    </row>
    <row r="62" spans="1:9">
      <c r="B62" s="33"/>
      <c r="C62" s="33"/>
      <c r="D62" s="34"/>
      <c r="E62" s="34"/>
      <c r="F62" s="34"/>
      <c r="G62" s="102"/>
    </row>
  </sheetData>
  <protectedRanges>
    <protectedRange sqref="C35:E38" name="Travel"/>
    <protectedRange sqref="C30:F30 F35:F38" name="Capital Equipment"/>
    <protectedRange sqref="C25:F25" name="Supplies"/>
    <protectedRange sqref="G6:G10 G13:G17 G20:G21 G43 G52 G57 G25:G26 G30:G31 G35:G39" name="Notes"/>
  </protectedRanges>
  <mergeCells count="19">
    <mergeCell ref="B2:G2"/>
    <mergeCell ref="B4:G4"/>
    <mergeCell ref="B26:C26"/>
    <mergeCell ref="B17:C17"/>
    <mergeCell ref="B23:G23"/>
    <mergeCell ref="B21:C21"/>
    <mergeCell ref="B10:C10"/>
    <mergeCell ref="B57:C57"/>
    <mergeCell ref="D56:F56"/>
    <mergeCell ref="B39:C39"/>
    <mergeCell ref="B45:G45"/>
    <mergeCell ref="B28:G28"/>
    <mergeCell ref="B31:C31"/>
    <mergeCell ref="B33:G33"/>
    <mergeCell ref="B41:G41"/>
    <mergeCell ref="B43:C43"/>
    <mergeCell ref="B52:C52"/>
    <mergeCell ref="B50:G50"/>
    <mergeCell ref="B55:G55"/>
  </mergeCells>
  <conditionalFormatting sqref="H6:H9 H11:H16 H40:H57 H18:H20 H22:H30 H32:H38">
    <cfRule type="containsText" dxfId="7" priority="19" operator="containsText" text="OVER BUDGET">
      <formula>NOT(ISERROR(SEARCH("OVER BUDGET",H6)))</formula>
    </cfRule>
  </conditionalFormatting>
  <conditionalFormatting sqref="H58">
    <cfRule type="containsText" dxfId="6" priority="17" operator="containsText" text="OVER BUDGET">
      <formula>NOT(ISERROR(SEARCH("OVER BUDGET",H58)))</formula>
    </cfRule>
  </conditionalFormatting>
  <conditionalFormatting sqref="H39">
    <cfRule type="containsText" dxfId="5" priority="15" operator="containsText" text="OVER BUDGET">
      <formula>NOT(ISERROR(SEARCH("OVER BUDGET",H39)))</formula>
    </cfRule>
  </conditionalFormatting>
  <conditionalFormatting sqref="H31">
    <cfRule type="containsText" dxfId="4" priority="14" operator="containsText" text="OVER BUDGET">
      <formula>NOT(ISERROR(SEARCH("OVER BUDGET",H31)))</formula>
    </cfRule>
  </conditionalFormatting>
  <conditionalFormatting sqref="H21">
    <cfRule type="containsText" dxfId="3" priority="13" operator="containsText" text="OVER BUDGET">
      <formula>NOT(ISERROR(SEARCH("OVER BUDGET",H21)))</formula>
    </cfRule>
  </conditionalFormatting>
  <conditionalFormatting sqref="H17">
    <cfRule type="containsText" dxfId="2" priority="12" operator="containsText" text="OVER BUDGET">
      <formula>NOT(ISERROR(SEARCH("OVER BUDGET",H17)))</formula>
    </cfRule>
  </conditionalFormatting>
  <conditionalFormatting sqref="H10">
    <cfRule type="containsText" dxfId="1" priority="11" operator="containsText" text="OVER BUDGET">
      <formula>NOT(ISERROR(SEARCH("OVER BUDGET",H10)))</formula>
    </cfRule>
  </conditionalFormatting>
  <conditionalFormatting sqref="F1:F1048576">
    <cfRule type="cellIs" dxfId="0" priority="2" operator="lessThan">
      <formula>0</formula>
    </cfRule>
  </conditionalFormatting>
  <dataValidations count="3">
    <dataValidation allowBlank="1" showInputMessage="1" showErrorMessage="1" promptTitle="Administrative Service Charge" prompt="Note: All ASCs are rounded up to the nearest multiple of $10. " sqref="D47:F47" xr:uid="{AB473368-4C11-4406-A64F-CA0556BEC8A6}"/>
    <dataValidation allowBlank="1" showInputMessage="1" showErrorMessage="1" promptTitle="Additional Information" prompt="More information on Capital Equipment can be found in the Additional Info &amp; Definitions sheet. " sqref="B28:G28" xr:uid="{F5E56512-9A1E-44E5-917F-4829607AD3DE}"/>
    <dataValidation allowBlank="1" showInputMessage="1" showErrorMessage="1" promptTitle="Additional Information" prompt="More information on Administrative Service Charge can be found in the Additional Info &amp; Definitions sheet. " sqref="B45:G45" xr:uid="{0F3CFF8C-22DB-4E73-BC8A-1447B420D3EB}"/>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7" ma:contentTypeDescription="Create a new document." ma:contentTypeScope="" ma:versionID="2df259c264cd4d35173f1130149b9341">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d3c75cc07ea2d79047155a6e00a59596"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C07958DB-BD35-45B4-881E-0A6F2C0B5869}"/>
</file>

<file path=customXml/itemProps2.xml><?xml version="1.0" encoding="utf-8"?>
<ds:datastoreItem xmlns:ds="http://schemas.openxmlformats.org/officeDocument/2006/customXml" ds:itemID="{8F868E71-D333-40C6-BC83-10F4FE92666B}"/>
</file>

<file path=customXml/itemProps3.xml><?xml version="1.0" encoding="utf-8"?>
<ds:datastoreItem xmlns:ds="http://schemas.openxmlformats.org/officeDocument/2006/customXml" ds:itemID="{2C328603-7D24-4D6E-8508-4ADE39CBF8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2023-08-02T19:07:08Z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